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Z:\PREFEITURA\02_LICITAÇÕES\2024 - ITAIPU CONV 4500072597-2023\2024 - CONCORRÊNCIA 010 - CALÇAMENTO POLIÉDRICO\11_ORCAMENTO\"/>
    </mc:Choice>
  </mc:AlternateContent>
  <xr:revisionPtr revIDLastSave="0" documentId="13_ncr:1_{E8E8105B-4CD6-4C89-BB10-46BE750C5E07}" xr6:coauthVersionLast="47" xr6:coauthVersionMax="47" xr10:uidLastSave="{00000000-0000-0000-0000-000000000000}"/>
  <bookViews>
    <workbookView xWindow="-120" yWindow="-120" windowWidth="29040" windowHeight="15720" tabRatio="697" activeTab="1" xr2:uid="{00000000-000D-0000-FFFF-FFFF00000000}"/>
  </bookViews>
  <sheets>
    <sheet name="Cronograma" sheetId="16" r:id="rId1"/>
    <sheet name="CALÇAMENTO" sheetId="26" r:id="rId2"/>
    <sheet name="Planilha1" sheetId="37" r:id="rId3"/>
  </sheets>
  <definedNames>
    <definedName name="_xlnm.Print_Area" localSheetId="1">CALÇAMENTO!$B$2:$Z$34</definedName>
    <definedName name="_xlnm.Print_Area" localSheetId="0">Cronograma!$B$2:$S$37</definedName>
    <definedName name="DadosExternos15" localSheetId="1">CALÇAMENTO!$B$6:$B$23</definedName>
    <definedName name="DadosExternos15_1" localSheetId="1">CALÇAMENTO!$B$6:$B$23</definedName>
    <definedName name="DadosExternos15_2" localSheetId="1">CALÇAMENTO!$B$6:$B$23</definedName>
    <definedName name="DadosExternos16" localSheetId="1">CALÇAMENTO!$B$6:$B$23</definedName>
    <definedName name="DadosExternos16_1" localSheetId="1">CALÇAMENTO!$B$6:$B$23</definedName>
    <definedName name="DadosExternos16_2" localSheetId="1">CALÇAMENTO!$B$6:$B$23</definedName>
    <definedName name="DadosExternos17" localSheetId="1">CALÇAMENTO!$B$6:$B$23</definedName>
    <definedName name="DadosExternos17_1" localSheetId="1">CALÇAMENTO!$B$6:$B$23</definedName>
    <definedName name="DadosExternos17_2" localSheetId="1">CALÇAMENTO!$B$6:$B$23</definedName>
    <definedName name="DadosExternos18" localSheetId="1">CALÇAMENTO!$B$8:$E$23</definedName>
    <definedName name="DadosExternos18_1" localSheetId="1">CALÇAMENTO!$B$8:$E$23</definedName>
    <definedName name="DadosExternos18_2" localSheetId="1">CALÇAMENTO!$B$8:$E$23</definedName>
    <definedName name="DadosExternos2" localSheetId="1">CALÇAMENTO!$B$6:$B$23</definedName>
    <definedName name="DadosExternos2_1" localSheetId="1">CALÇAMENTO!$B$6:$B$23</definedName>
    <definedName name="DadosExternos2_2" localSheetId="1">CALÇAMENTO!$B$6:$B$23</definedName>
    <definedName name="DadosExternos5" localSheetId="1">CALÇAMENTO!$B$6:$B$23</definedName>
    <definedName name="DadosExternos5_1" localSheetId="1">CALÇAMENTO!$B$6:$B$23</definedName>
    <definedName name="DadosExternos5_2" localSheetId="1">CALÇAMENTO!$B$6:$B$23</definedName>
    <definedName name="DadosExternos6" localSheetId="1">CALÇAMENTO!$B$6:$B$23</definedName>
    <definedName name="DadosExternos6_1" localSheetId="1">CALÇAMENTO!$B$6:$B$23</definedName>
    <definedName name="DadosExternos6_2" localSheetId="1">CALÇAMENTO!$B$6:$B$23</definedName>
    <definedName name="FIM" localSheetId="1">#REF!</definedName>
    <definedName name="FIM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26" l="1"/>
  <c r="K11" i="26"/>
  <c r="K12" i="26"/>
  <c r="K10" i="26"/>
  <c r="F22" i="26" l="1"/>
  <c r="F17" i="26"/>
  <c r="F11" i="26"/>
  <c r="Y10" i="26" l="1"/>
  <c r="Z10" i="26" s="1"/>
  <c r="X10" i="26"/>
  <c r="V10" i="26"/>
  <c r="T10" i="26"/>
  <c r="R10" i="26"/>
  <c r="P10" i="26"/>
  <c r="N10" i="26"/>
  <c r="L10" i="26"/>
  <c r="H10" i="26" l="1"/>
  <c r="I10" i="26" s="1"/>
  <c r="G21" i="26"/>
  <c r="G20" i="26"/>
  <c r="G18" i="26"/>
  <c r="G16" i="26"/>
  <c r="C5" i="16" l="1"/>
  <c r="C4" i="16"/>
  <c r="C3" i="16"/>
  <c r="T9" i="16"/>
  <c r="Y11" i="26"/>
  <c r="Z11" i="26" s="1"/>
  <c r="X11" i="26"/>
  <c r="V11" i="26"/>
  <c r="T11" i="26"/>
  <c r="R11" i="26"/>
  <c r="P11" i="26"/>
  <c r="N11" i="26"/>
  <c r="L11" i="26"/>
  <c r="H11" i="26"/>
  <c r="I11" i="26" s="1"/>
  <c r="Y21" i="26"/>
  <c r="Z21" i="26" s="1"/>
  <c r="X21" i="26"/>
  <c r="V21" i="26"/>
  <c r="T21" i="26"/>
  <c r="R21" i="26"/>
  <c r="P21" i="26"/>
  <c r="N21" i="26"/>
  <c r="B21" i="16"/>
  <c r="C21" i="16" s="1"/>
  <c r="M21" i="16"/>
  <c r="N21" i="16"/>
  <c r="O21" i="16"/>
  <c r="P21" i="16"/>
  <c r="Q21" i="16"/>
  <c r="M22" i="16"/>
  <c r="N22" i="16"/>
  <c r="O22" i="16"/>
  <c r="P22" i="16"/>
  <c r="Q22" i="16"/>
  <c r="B23" i="16"/>
  <c r="C23" i="16" s="1"/>
  <c r="M23" i="16"/>
  <c r="N23" i="16"/>
  <c r="O23" i="16"/>
  <c r="P23" i="16"/>
  <c r="Q23" i="16"/>
  <c r="M24" i="16"/>
  <c r="N24" i="16"/>
  <c r="O24" i="16"/>
  <c r="P24" i="16"/>
  <c r="Q24" i="16"/>
  <c r="E25" i="16"/>
  <c r="F25" i="16"/>
  <c r="G25" i="16"/>
  <c r="H25" i="16"/>
  <c r="I25" i="16"/>
  <c r="J25" i="16"/>
  <c r="K25" i="16"/>
  <c r="L25" i="16"/>
  <c r="M25" i="16"/>
  <c r="N25" i="16"/>
  <c r="O25" i="16"/>
  <c r="P25" i="16"/>
  <c r="Q25" i="16"/>
  <c r="B26" i="16"/>
  <c r="C26" i="16" s="1"/>
  <c r="E26" i="16"/>
  <c r="F26" i="16"/>
  <c r="G26" i="16"/>
  <c r="H26" i="16"/>
  <c r="I26" i="16"/>
  <c r="J26" i="16"/>
  <c r="K26" i="16"/>
  <c r="L26" i="16"/>
  <c r="M26" i="16"/>
  <c r="N26" i="16"/>
  <c r="O26" i="16"/>
  <c r="P26" i="16"/>
  <c r="Q26" i="16"/>
  <c r="E27" i="16"/>
  <c r="F27" i="16"/>
  <c r="G27" i="16"/>
  <c r="H27" i="16"/>
  <c r="I27" i="16"/>
  <c r="J27" i="16"/>
  <c r="K27" i="16"/>
  <c r="L27" i="16"/>
  <c r="M27" i="16"/>
  <c r="N27" i="16"/>
  <c r="O27" i="16"/>
  <c r="P27" i="16"/>
  <c r="Q27" i="16"/>
  <c r="R12" i="16"/>
  <c r="R11" i="16"/>
  <c r="R26" i="16" l="1"/>
  <c r="C27" i="16"/>
  <c r="R25" i="16"/>
  <c r="R27" i="16"/>
  <c r="C25" i="16"/>
  <c r="C24" i="16"/>
  <c r="N29" i="16" s="1"/>
  <c r="C22" i="16"/>
  <c r="P29" i="16" s="1"/>
  <c r="M30" i="16" l="1"/>
  <c r="M29" i="16"/>
  <c r="O29" i="16"/>
  <c r="Q29" i="16"/>
  <c r="P30" i="16"/>
  <c r="P32" i="16" s="1"/>
  <c r="N30" i="16"/>
  <c r="N32" i="16" s="1"/>
  <c r="Q30" i="16"/>
  <c r="O30" i="16"/>
  <c r="Q32" i="16" l="1"/>
  <c r="O32" i="16"/>
  <c r="M32" i="16"/>
  <c r="G19" i="26" l="1"/>
  <c r="Y16" i="26"/>
  <c r="Z16" i="26" s="1"/>
  <c r="X16" i="26"/>
  <c r="V16" i="26"/>
  <c r="T16" i="26"/>
  <c r="R16" i="26"/>
  <c r="P16" i="26"/>
  <c r="N16" i="26"/>
  <c r="F16" i="26" l="1"/>
  <c r="F21" i="26" l="1"/>
  <c r="H21" i="26" l="1"/>
  <c r="I21" i="26" s="1"/>
  <c r="L16" i="26"/>
  <c r="H16" i="26"/>
  <c r="I16" i="26" s="1"/>
  <c r="C13" i="16" l="1"/>
  <c r="T13" i="16" l="1"/>
  <c r="F18" i="26" l="1"/>
  <c r="C10" i="16" l="1"/>
  <c r="C11" i="16"/>
  <c r="C12" i="16"/>
  <c r="C9" i="16"/>
  <c r="K10" i="16"/>
  <c r="Y9" i="26" l="1"/>
  <c r="X9" i="26"/>
  <c r="V9" i="26"/>
  <c r="T9" i="26"/>
  <c r="R9" i="26"/>
  <c r="P9" i="26"/>
  <c r="H9" i="26"/>
  <c r="F19" i="26" l="1"/>
  <c r="F20" i="26"/>
  <c r="H12" i="26"/>
  <c r="H13" i="26" s="1"/>
  <c r="P12" i="26"/>
  <c r="P13" i="26" s="1"/>
  <c r="R12" i="26"/>
  <c r="R13" i="26" s="1"/>
  <c r="T12" i="26"/>
  <c r="T13" i="26" s="1"/>
  <c r="V12" i="26"/>
  <c r="V13" i="26" s="1"/>
  <c r="X12" i="26"/>
  <c r="X13" i="26" s="1"/>
  <c r="Y12" i="26"/>
  <c r="L9" i="26" l="1"/>
  <c r="I9" i="26"/>
  <c r="I12" i="26"/>
  <c r="I13" i="26" s="1"/>
  <c r="L12" i="26"/>
  <c r="N9" i="26" l="1"/>
  <c r="Z9" i="26"/>
  <c r="R13" i="16"/>
  <c r="L13" i="26"/>
  <c r="Z12" i="26"/>
  <c r="N12" i="26"/>
  <c r="N13" i="26" s="1"/>
  <c r="Z13" i="26" l="1"/>
  <c r="R9" i="16"/>
  <c r="Y20" i="26"/>
  <c r="Z20" i="26" s="1"/>
  <c r="X20" i="26"/>
  <c r="V20" i="26"/>
  <c r="T20" i="26"/>
  <c r="R20" i="26"/>
  <c r="P20" i="26"/>
  <c r="N20" i="26"/>
  <c r="I22" i="16" l="1"/>
  <c r="J22" i="16"/>
  <c r="L22" i="16"/>
  <c r="I21" i="16"/>
  <c r="E21" i="16"/>
  <c r="E22" i="16"/>
  <c r="K22" i="16"/>
  <c r="L21" i="16"/>
  <c r="K21" i="16"/>
  <c r="G21" i="16"/>
  <c r="H21" i="16"/>
  <c r="H22" i="16"/>
  <c r="F21" i="16"/>
  <c r="G22" i="16"/>
  <c r="J21" i="16"/>
  <c r="F22" i="16"/>
  <c r="H20" i="26"/>
  <c r="Y17" i="26"/>
  <c r="Z17" i="26" s="1"/>
  <c r="X17" i="26"/>
  <c r="V17" i="26"/>
  <c r="T17" i="26"/>
  <c r="R17" i="26"/>
  <c r="P17" i="26"/>
  <c r="N17" i="26"/>
  <c r="R22" i="16" l="1"/>
  <c r="R21" i="16"/>
  <c r="H17" i="26"/>
  <c r="H18" i="26"/>
  <c r="R15" i="16" l="1"/>
  <c r="R14" i="16"/>
  <c r="I20" i="26" l="1"/>
  <c r="I17" i="26"/>
  <c r="I18" i="26"/>
  <c r="L20" i="26"/>
  <c r="L17" i="26"/>
  <c r="L23" i="26" s="1"/>
  <c r="Y18" i="26" l="1"/>
  <c r="Z18" i="26" s="1"/>
  <c r="X18" i="26"/>
  <c r="V18" i="26"/>
  <c r="T18" i="26"/>
  <c r="R18" i="26"/>
  <c r="P18" i="26"/>
  <c r="N18" i="26"/>
  <c r="L18" i="26" l="1"/>
  <c r="C14" i="16" l="1"/>
  <c r="C15" i="16"/>
  <c r="T14" i="16" l="1"/>
  <c r="T15" i="16"/>
  <c r="H19" i="26" l="1"/>
  <c r="Y19" i="26"/>
  <c r="Z19" i="26" s="1"/>
  <c r="X19" i="26"/>
  <c r="V19" i="26"/>
  <c r="T19" i="26"/>
  <c r="R19" i="26"/>
  <c r="P19" i="26"/>
  <c r="N19" i="26"/>
  <c r="L19" i="26"/>
  <c r="Y22" i="26"/>
  <c r="X22" i="26"/>
  <c r="X23" i="26" s="1"/>
  <c r="V22" i="26"/>
  <c r="V23" i="26" s="1"/>
  <c r="T22" i="26"/>
  <c r="T23" i="26" s="1"/>
  <c r="R22" i="26"/>
  <c r="R23" i="26" s="1"/>
  <c r="P22" i="26"/>
  <c r="P23" i="26" s="1"/>
  <c r="N22" i="26"/>
  <c r="N23" i="26" s="1"/>
  <c r="Y15" i="26"/>
  <c r="X15" i="26"/>
  <c r="V15" i="26"/>
  <c r="T15" i="26"/>
  <c r="R15" i="26"/>
  <c r="P15" i="26"/>
  <c r="N15" i="26"/>
  <c r="L15" i="26"/>
  <c r="H15" i="26"/>
  <c r="AJ32" i="26"/>
  <c r="AA8" i="26"/>
  <c r="AA24" i="26" s="1"/>
  <c r="Z22" i="26" l="1"/>
  <c r="Z23" i="26" s="1"/>
  <c r="Z15" i="26"/>
  <c r="I15" i="26"/>
  <c r="I19" i="26"/>
  <c r="L22" i="26"/>
  <c r="H22" i="26"/>
  <c r="H23" i="26" s="1"/>
  <c r="I24" i="26" s="1"/>
  <c r="I22" i="26" l="1"/>
  <c r="I23" i="26" s="1"/>
  <c r="I25" i="26" s="1"/>
  <c r="R10" i="16" l="1"/>
  <c r="L23" i="16" l="1"/>
  <c r="L29" i="16" s="1"/>
  <c r="R17" i="16"/>
  <c r="E23" i="16"/>
  <c r="E29" i="16" s="1"/>
  <c r="H23" i="16"/>
  <c r="H29" i="16" s="1"/>
  <c r="J23" i="16"/>
  <c r="J29" i="16" s="1"/>
  <c r="I24" i="16"/>
  <c r="I30" i="16" s="1"/>
  <c r="G23" i="16"/>
  <c r="G29" i="16" s="1"/>
  <c r="F24" i="16"/>
  <c r="F30" i="16" s="1"/>
  <c r="L24" i="16"/>
  <c r="L30" i="16" s="1"/>
  <c r="F23" i="16"/>
  <c r="F29" i="16" s="1"/>
  <c r="K23" i="16"/>
  <c r="K29" i="16" s="1"/>
  <c r="G24" i="16"/>
  <c r="G30" i="16" s="1"/>
  <c r="I23" i="16"/>
  <c r="I29" i="16" s="1"/>
  <c r="J24" i="16"/>
  <c r="J30" i="16" s="1"/>
  <c r="H24" i="16"/>
  <c r="H30" i="16" s="1"/>
  <c r="E24" i="16"/>
  <c r="E30" i="16" s="1"/>
  <c r="K24" i="16"/>
  <c r="K30" i="16" s="1"/>
  <c r="K5" i="26"/>
  <c r="L32" i="16" l="1"/>
  <c r="I32" i="16"/>
  <c r="F32" i="16"/>
  <c r="H32" i="16"/>
  <c r="K32" i="16"/>
  <c r="G32" i="16"/>
  <c r="J32" i="16"/>
  <c r="R24" i="16"/>
  <c r="R30" i="16" s="1"/>
  <c r="R23" i="16"/>
  <c r="R29" i="16" s="1"/>
  <c r="E32" i="16"/>
  <c r="T10" i="16"/>
  <c r="T11" i="16"/>
  <c r="T12" i="16"/>
  <c r="R32" i="16" l="1"/>
  <c r="S27" i="16" s="1"/>
  <c r="S9" i="16"/>
  <c r="S13" i="16"/>
  <c r="S14" i="16"/>
  <c r="S15" i="16"/>
  <c r="S11" i="16"/>
  <c r="S12" i="16"/>
  <c r="S10" i="16"/>
  <c r="S22" i="16" l="1"/>
  <c r="E33" i="16"/>
  <c r="S23" i="16"/>
  <c r="S21" i="16"/>
  <c r="S29" i="16" s="1"/>
  <c r="S25" i="16"/>
  <c r="S24" i="16"/>
  <c r="S30" i="16" s="1"/>
  <c r="S26" i="16"/>
  <c r="S17" i="16"/>
  <c r="M33" i="16"/>
  <c r="I33" i="16"/>
  <c r="J33" i="16"/>
  <c r="K33" i="16"/>
  <c r="H33" i="16"/>
  <c r="N33" i="16"/>
  <c r="O33" i="16"/>
  <c r="P33" i="16"/>
  <c r="L33" i="16"/>
  <c r="R33" i="16"/>
  <c r="Q33" i="16"/>
  <c r="F33" i="16"/>
  <c r="G33" i="16"/>
  <c r="S32" i="16" l="1"/>
  <c r="S33" i="1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exão10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" xr16:uid="{00000000-0015-0000-FFFF-FFFF02000000}" name="Conexão10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" xr16:uid="{00000000-0015-0000-FFFF-FFFF06000000}" name="Conexão110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4" xr16:uid="{00000000-0015-0000-FFFF-FFFF08000000}" name="Conexão110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5" xr16:uid="{00000000-0015-0000-FFFF-FFFF0C000000}" name="Conexão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6" xr16:uid="{00000000-0015-0000-FFFF-FFFF0E000000}" name="Conexão11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7" xr16:uid="{00000000-0015-0000-FFFF-FFFF12000000}" name="Conexão12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8" xr16:uid="{00000000-0015-0000-FFFF-FFFF14000000}" name="Conexão12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9" xr16:uid="{00000000-0015-0000-FFFF-FFFF18000000}" name="Conexão13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0" xr16:uid="{00000000-0015-0000-FFFF-FFFF1A000000}" name="Conexão13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1" xr16:uid="{00000000-0015-0000-FFFF-FFFF1E000000}" name="Conexão14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12" xr16:uid="{00000000-0015-0000-FFFF-FFFF20000000}" name="Conexão14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13" xr16:uid="{00000000-0015-0000-FFFF-FFFF24000000}" name="Conexão15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4" xr16:uid="{00000000-0015-0000-FFFF-FFFF26000000}" name="Conexão15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5" xr16:uid="{00000000-0015-0000-FFFF-FFFF2A000000}" name="Conexão16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6" xr16:uid="{00000000-0015-0000-FFFF-FFFF2C000000}" name="Conexão16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7" xr16:uid="{00000000-0015-0000-FFFF-FFFF30000000}" name="Conexão17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8" xr16:uid="{00000000-0015-0000-FFFF-FFFF32000000}" name="Conexão17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19" xr16:uid="{00000000-0015-0000-FFFF-FFFF36000000}" name="Conexão18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0" xr16:uid="{00000000-0015-0000-FFFF-FFFF38000000}" name="Conexão18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1" xr16:uid="{00000000-0015-0000-FFFF-FFFF3C000000}" name="Conexão19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2" xr16:uid="{00000000-0015-0000-FFFF-FFFF3E000000}" name="Conexão19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3" xr16:uid="{00000000-0015-0000-FFFF-FFFF42000000}" name="Conexão20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4" xr16:uid="{00000000-0015-0000-FFFF-FFFF44000000}" name="Conexão20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5" xr16:uid="{00000000-0015-0000-FFFF-FFFF48000000}" name="Conexão2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6" xr16:uid="{00000000-0015-0000-FFFF-FFFF4A000000}" name="Conexão2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7" xr16:uid="{00000000-0015-0000-FFFF-FFFF4E000000}" name="Conexão22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8" xr16:uid="{00000000-0015-0000-FFFF-FFFF50000000}" name="Conexão22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29" xr16:uid="{00000000-0015-0000-FFFF-FFFF54000000}" name="Conexão3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0" xr16:uid="{00000000-0015-0000-FFFF-FFFF56000000}" name="Conexão3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1" xr16:uid="{00000000-0015-0000-FFFF-FFFF5A000000}" name="Conexão4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2" xr16:uid="{00000000-0015-0000-FFFF-FFFF5C000000}" name="Conexão4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3" xr16:uid="{00000000-0015-0000-FFFF-FFFF60000000}" name="Conexão5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4" xr16:uid="{00000000-0015-0000-FFFF-FFFF62000000}" name="Conexão5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35" xr16:uid="{00000000-0015-0000-FFFF-FFFF66000000}" name="Conexão6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36" xr16:uid="{00000000-0015-0000-FFFF-FFFF68000000}" name="Conexão6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37" xr16:uid="{00000000-0015-0000-FFFF-FFFF6C000000}" name="Conexão7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38" xr16:uid="{00000000-0015-0000-FFFF-FFFF6E000000}" name="Conexão7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6_ITEMXSUBITEM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6_ITEMXSUBITEM.G013_CDITEMPROJ = G015_GRPXITEM.G013_CDITEMPROJ AND G012_GRPITEMPROJ.G012_CDGRPITEMPROJ = G015_GRPXITEM.G012_CDGRPITEMPROJ AND G013_ITEMPROJ.G013_CDITEMPROJ = G015_GRPXITEM.G013_CDITEMPROJ AND G013_ITEMPROJ.G013_CDITEMPROJ = G016_ITEMXSUBITEM.G013_CDITEMPROJ AND G014_SUBITEMPROJ.G014_CDSUBITEMPROJ = G016_ITEMXSUBITEM.G014_CDSUBITEMPROJ AND ((G012_GRPITEMPROJ.G012_CDGRPITEMPROJ=9))"/>
  </connection>
  <connection id="39" xr16:uid="{00000000-0015-0000-FFFF-FFFF72000000}" name="Conexão8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40" xr16:uid="{00000000-0015-0000-FFFF-FFFF74000000}" name="Conexão8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41" xr16:uid="{00000000-0015-0000-FFFF-FFFF78000000}" name="Conexão9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  <connection id="42" xr16:uid="{00000000-0015-0000-FFFF-FFFF7A000000}" name="Conexão9111" type="1" refreshedVersion="0" savePassword="1" background="1" saveData="1">
    <dbPr connection="DRIVER={Centura SQLBase 3.01 32-bit Driver -NT &amp; Win95};UID=SYSADM;PWD=SAMADM;DB=PRCIDADE;SRVR=" command="SELECT G012_GRPITEMPROJ.G012_CDGRPITEMPROJ, G012_GRPITEMPROJ.G012_DC, G013_ITEMPROJ.G013_CDITEMPROJ, G013_ITEMPROJ.G013_DC, G014_SUBITEMPROJ.G014_CDSUBITEMPROJ, G014_SUBITEMPROJ.G014_DC, G014_SUBITEMPROJ.G014_UN_x000d__x000a_FROM SYSADM.G012_GRPITEMPROJ G012_GRPITEMPROJ, SYSADM.G013_ITEMPROJ G013_ITEMPROJ, SYSADM.G014_SUBITEMPROJ G014_SUBITEMPROJ, SYSADM.G015_GRPXITEM G015_GRPXITEM, SYSADM.G016_ITEMXSUBITEM G016_ITEMXSUBITEM_x000d__x000a_WHERE G015_GRPXITEM.G012_CDGRPITEMPROJ = G012_GRPITEMPROJ.G012_CDGRPITEMPROJ AND G015_GRPXITEM.G013_CDITEMPROJ = G013_ITEMPROJ.G013_CDITEMPROJ AND G016_ITEMXSUBITEM.G013_CDITEMPROJ = G013_ITEMPROJ.G013_CDITEMPROJ AND G016_ITEMXSUBITEM.G013_CDITEMPROJ = G015_GRPXITEM.G013_CDITEMPROJ AND G016_ITEMXSUBITEM.G014_CDSUBITEMPROJ = G014_SUBITEMPROJ.G014_CDSUBITEMPROJ AND ((G012_GRPITEMPROJ.G012_CDGRPITEMPROJ=5))"/>
  </connection>
</connections>
</file>

<file path=xl/sharedStrings.xml><?xml version="1.0" encoding="utf-8"?>
<sst xmlns="http://schemas.openxmlformats.org/spreadsheetml/2006/main" count="169" uniqueCount="85">
  <si>
    <t xml:space="preserve">Local: </t>
  </si>
  <si>
    <t>FIN FDU</t>
  </si>
  <si>
    <t>Projeto:</t>
  </si>
  <si>
    <t>C.P.M.</t>
  </si>
  <si>
    <t>CRONOGRAMA FÍSICO FINANCEIRO</t>
  </si>
  <si>
    <t>GRUPO</t>
  </si>
  <si>
    <t>PARCELAS (%)</t>
  </si>
  <si>
    <t>% S/</t>
  </si>
  <si>
    <t>Controle</t>
  </si>
  <si>
    <t>ITEM</t>
  </si>
  <si>
    <t>ITEM (R$)</t>
  </si>
  <si>
    <t>COMPOSIÇÃO DO FINANCIAMENTO</t>
  </si>
  <si>
    <t>PARCELAS</t>
  </si>
  <si>
    <t>FINANCIAMENTO</t>
  </si>
  <si>
    <t>R$</t>
  </si>
  <si>
    <t>CONTRAPARTIDA</t>
  </si>
  <si>
    <t>SUB-</t>
  </si>
  <si>
    <t>FATURAMENTO MENSAL PREVISTO</t>
  </si>
  <si>
    <t>MENSAL PREVISTO EM %</t>
  </si>
  <si>
    <t>Resp. Técnico:</t>
  </si>
  <si>
    <t>SERVIÇOS</t>
  </si>
  <si>
    <t>UNID</t>
  </si>
  <si>
    <t>QUANT</t>
  </si>
  <si>
    <t>TOTAL</t>
  </si>
  <si>
    <t>TOTAIS</t>
  </si>
  <si>
    <t>Município:</t>
  </si>
  <si>
    <t>Local:</t>
  </si>
  <si>
    <t>DESCRIÇÃO DOS SERVIÇOS</t>
  </si>
  <si>
    <t>PREÇO (R$)</t>
  </si>
  <si>
    <t>(a)</t>
  </si>
  <si>
    <t>1.1</t>
  </si>
  <si>
    <t>2.1</t>
  </si>
  <si>
    <t>PREÇO GLOBAL SEM BDI</t>
  </si>
  <si>
    <t>BDI</t>
  </si>
  <si>
    <t>PREÇO GLOBAL COM BDI</t>
  </si>
  <si>
    <t>EXECUTADO</t>
  </si>
  <si>
    <t>TOTAL SUBITEM</t>
  </si>
  <si>
    <t>RESPONSÁVEL TÉCNICO MUNICÍPIO</t>
  </si>
  <si>
    <t>____________________________________</t>
  </si>
  <si>
    <t>DESCONTO EMPRESA</t>
  </si>
  <si>
    <t>SUBTOTAL</t>
  </si>
  <si>
    <t>UNITÁRIO
(b)</t>
  </si>
  <si>
    <t>PARCIAL
(c = a . b)</t>
  </si>
  <si>
    <t>LICITAÇÃO</t>
  </si>
  <si>
    <t>PARCIAL COM BDI</t>
  </si>
  <si>
    <t>S1</t>
  </si>
  <si>
    <t>S2</t>
  </si>
  <si>
    <t>MEDIÇÃO</t>
  </si>
  <si>
    <t>DATA</t>
  </si>
  <si>
    <t>ACUMULADOS</t>
  </si>
  <si>
    <t>MEDIÇÕES</t>
  </si>
  <si>
    <t>ITENS</t>
  </si>
  <si>
    <t xml:space="preserve">PLANILHA DE SERVIÇOS - PAVIMENTAÇÃO POLIÉDRICA </t>
  </si>
  <si>
    <t>SANTA TEREZA DO OESTE / PR</t>
  </si>
  <si>
    <t>M2</t>
  </si>
  <si>
    <t>COMERCIAL - CAMINHÃO BASCULANTE</t>
  </si>
  <si>
    <t>T</t>
  </si>
  <si>
    <t>COLCHÃO DE ARGILA/SAIBRO/MAT. DE JAZIDA - ESPESSURA DE 15CM</t>
  </si>
  <si>
    <t>Data:</t>
  </si>
  <si>
    <t>CÓDIGOS SINAPI / DER / ITAIPU</t>
  </si>
  <si>
    <t>Pref. Municipal:</t>
  </si>
  <si>
    <t>SEPLAN</t>
  </si>
  <si>
    <t>SECRETARIA DE PLANEJAMENTO</t>
  </si>
  <si>
    <t>COLCHÃO DE PÓ DE PEDRA (REJUNTE) - ESPESSURA DE 3CM</t>
  </si>
  <si>
    <t>PAVIMENTAÇÃO POLIÉDRICA</t>
  </si>
  <si>
    <t>2.2</t>
  </si>
  <si>
    <t>2.3</t>
  </si>
  <si>
    <t>2.4</t>
  </si>
  <si>
    <t>2.5</t>
  </si>
  <si>
    <t>2.6</t>
  </si>
  <si>
    <t>REGULARIZAÇÃO, ENCAIXE DO GREIDE E COMPACTAÇÃO DO SUBLEITO 100% PN</t>
  </si>
  <si>
    <t>SERVIÇOS PRELIMINARES E TERRAPLANAGEM</t>
  </si>
  <si>
    <t>LIMPEZA FINAL.AF_05/2018</t>
  </si>
  <si>
    <t>2.7</t>
  </si>
  <si>
    <t>ESCAVAÇÃO HORIZONTAL, INCLUINDO CARGA E DESCARGA EM SOLO DE 1A CATEGORIA COM TRATOR DE ESTEIRAS (347HP/LÂMINA: 8,70M3). AF_07/2020</t>
  </si>
  <si>
    <t>M3</t>
  </si>
  <si>
    <t>1.3</t>
  </si>
  <si>
    <t>LINHA GROLLI</t>
  </si>
  <si>
    <t>EXTRAÇÃO, CARGA, TRANSP. PREPARO E ASSENTAMENTO DO POLIEDRO CORTADO</t>
  </si>
  <si>
    <t>1.2</t>
  </si>
  <si>
    <t>1.4</t>
  </si>
  <si>
    <t>103689</t>
  </si>
  <si>
    <t>FORNECIMENTO E INSTALAÇÃO DE PLACA DE OBRA COM CHAPA GALVANIZADA E ESTRUTURA DE MADEIRA (90x120cm). AF_03/2022_PS</t>
  </si>
  <si>
    <t>LIMPEZA MECANIZADA DE CAMADA VEGETAL,
VEGETAÇÃO E PEQUENAS ÁRVORES (DIÂMETRO
DE TRONCO MENOR QUE 0,20 M), COM TRATOR
DE ESTEIRAS.AF 05/2018</t>
  </si>
  <si>
    <t>PAVIMENTAÇÃO POLIÉDRICA LINHA GROLLI - CONVENIO  4500072597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</si>
</sst>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;\-&quot;R$&quot;#,##0.00"/>
    <numFmt numFmtId="165" formatCode="_(* #,##0.00_);_(* \(#,##0.00\);_(* &quot;-&quot;??_);_(@_)"/>
    <numFmt numFmtId="166" formatCode="0.0000"/>
  </numFmts>
  <fonts count="24" x14ac:knownFonts="1">
    <font>
      <sz val="8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8"/>
      <color indexed="9"/>
      <name val="Times New Roman"/>
      <family val="1"/>
    </font>
    <font>
      <sz val="8"/>
      <color indexed="12"/>
      <name val="Arial"/>
      <family val="2"/>
    </font>
    <font>
      <sz val="8"/>
      <color indexed="8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8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6">
    <xf numFmtId="0" fontId="0" fillId="0" borderId="0" xfId="0"/>
    <xf numFmtId="10" fontId="4" fillId="0" borderId="1" xfId="3" applyNumberFormat="1" applyFont="1" applyFill="1" applyBorder="1" applyProtection="1"/>
    <xf numFmtId="10" fontId="5" fillId="0" borderId="2" xfId="3" applyNumberFormat="1" applyFont="1" applyFill="1" applyBorder="1" applyProtection="1"/>
    <xf numFmtId="9" fontId="5" fillId="0" borderId="3" xfId="3" applyFont="1" applyFill="1" applyBorder="1" applyProtection="1"/>
    <xf numFmtId="10" fontId="5" fillId="0" borderId="4" xfId="3" applyNumberFormat="1" applyFont="1" applyFill="1" applyBorder="1" applyProtection="1"/>
    <xf numFmtId="9" fontId="15" fillId="0" borderId="5" xfId="3" applyFont="1" applyFill="1" applyBorder="1" applyProtection="1"/>
    <xf numFmtId="10" fontId="15" fillId="0" borderId="6" xfId="3" applyNumberFormat="1" applyFont="1" applyFill="1" applyBorder="1" applyProtection="1"/>
    <xf numFmtId="9" fontId="15" fillId="0" borderId="7" xfId="3" applyFont="1" applyFill="1" applyBorder="1" applyProtection="1"/>
    <xf numFmtId="0" fontId="9" fillId="0" borderId="14" xfId="2" applyFont="1" applyBorder="1" applyAlignment="1">
      <alignment horizontal="centerContinuous"/>
    </xf>
    <xf numFmtId="0" fontId="4" fillId="0" borderId="14" xfId="2" quotePrefix="1" applyFont="1" applyBorder="1" applyAlignment="1">
      <alignment horizontal="left"/>
    </xf>
    <xf numFmtId="0" fontId="2" fillId="0" borderId="14" xfId="2" applyBorder="1"/>
    <xf numFmtId="0" fontId="2" fillId="0" borderId="15" xfId="2" applyBorder="1"/>
    <xf numFmtId="0" fontId="2" fillId="0" borderId="0" xfId="2" applyProtection="1">
      <protection locked="0"/>
    </xf>
    <xf numFmtId="0" fontId="10" fillId="0" borderId="26" xfId="2" applyFont="1" applyBorder="1" applyAlignment="1">
      <alignment horizontal="left"/>
    </xf>
    <xf numFmtId="0" fontId="3" fillId="0" borderId="27" xfId="2" applyFont="1" applyBorder="1" applyAlignment="1">
      <alignment horizontal="left"/>
    </xf>
    <xf numFmtId="0" fontId="2" fillId="0" borderId="27" xfId="2" applyBorder="1"/>
    <xf numFmtId="0" fontId="2" fillId="0" borderId="16" xfId="2" applyBorder="1"/>
    <xf numFmtId="0" fontId="3" fillId="0" borderId="27" xfId="2" applyFont="1" applyBorder="1"/>
    <xf numFmtId="0" fontId="10" fillId="0" borderId="29" xfId="2" applyFont="1" applyBorder="1" applyAlignment="1">
      <alignment horizontal="left"/>
    </xf>
    <xf numFmtId="0" fontId="3" fillId="0" borderId="30" xfId="2" applyFont="1" applyBorder="1"/>
    <xf numFmtId="0" fontId="3" fillId="0" borderId="30" xfId="2" applyFont="1" applyBorder="1" applyAlignment="1">
      <alignment horizontal="left"/>
    </xf>
    <xf numFmtId="49" fontId="3" fillId="0" borderId="30" xfId="2" applyNumberFormat="1" applyFont="1" applyBorder="1" applyAlignment="1">
      <alignment horizontal="center"/>
    </xf>
    <xf numFmtId="0" fontId="2" fillId="0" borderId="30" xfId="2" applyBorder="1"/>
    <xf numFmtId="0" fontId="7" fillId="0" borderId="31" xfId="2" applyFont="1" applyBorder="1" applyAlignment="1">
      <alignment horizontal="centerContinuous"/>
    </xf>
    <xf numFmtId="0" fontId="8" fillId="0" borderId="0" xfId="2" applyFont="1" applyAlignment="1">
      <alignment horizontal="centerContinuous"/>
    </xf>
    <xf numFmtId="0" fontId="8" fillId="0" borderId="32" xfId="2" applyFont="1" applyBorder="1" applyAlignment="1">
      <alignment horizontal="centerContinuous"/>
    </xf>
    <xf numFmtId="0" fontId="11" fillId="0" borderId="33" xfId="2" applyFont="1" applyBorder="1" applyAlignment="1">
      <alignment horizontal="center"/>
    </xf>
    <xf numFmtId="0" fontId="11" fillId="0" borderId="25" xfId="2" applyFont="1" applyBorder="1" applyAlignment="1">
      <alignment horizontal="centerContinuous"/>
    </xf>
    <xf numFmtId="0" fontId="12" fillId="0" borderId="24" xfId="2" applyFont="1" applyBorder="1" applyAlignment="1">
      <alignment textRotation="180"/>
    </xf>
    <xf numFmtId="0" fontId="11" fillId="0" borderId="16" xfId="2" applyFont="1" applyBorder="1" applyAlignment="1">
      <alignment horizontal="centerContinuous"/>
    </xf>
    <xf numFmtId="0" fontId="11" fillId="0" borderId="27" xfId="2" applyFont="1" applyBorder="1" applyAlignment="1">
      <alignment horizontal="centerContinuous"/>
    </xf>
    <xf numFmtId="0" fontId="11" fillId="0" borderId="17" xfId="2" applyFont="1" applyBorder="1" applyAlignment="1">
      <alignment horizontal="centerContinuous"/>
    </xf>
    <xf numFmtId="0" fontId="11" fillId="0" borderId="24" xfId="2" applyFont="1" applyBorder="1" applyAlignment="1">
      <alignment horizontal="center"/>
    </xf>
    <xf numFmtId="0" fontId="11" fillId="0" borderId="34" xfId="2" applyFont="1" applyBorder="1" applyAlignment="1">
      <alignment horizontal="center"/>
    </xf>
    <xf numFmtId="0" fontId="11" fillId="0" borderId="35" xfId="2" applyFont="1" applyBorder="1" applyAlignment="1">
      <alignment horizontal="center"/>
    </xf>
    <xf numFmtId="0" fontId="11" fillId="0" borderId="36" xfId="2" applyFont="1" applyBorder="1"/>
    <xf numFmtId="0" fontId="12" fillId="0" borderId="36" xfId="2" applyFont="1" applyBorder="1" applyAlignment="1">
      <alignment textRotation="180"/>
    </xf>
    <xf numFmtId="0" fontId="11" fillId="0" borderId="37" xfId="2" applyFont="1" applyBorder="1" applyAlignment="1">
      <alignment horizontal="center"/>
    </xf>
    <xf numFmtId="0" fontId="11" fillId="0" borderId="38" xfId="2" applyFont="1" applyBorder="1" applyAlignment="1">
      <alignment horizontal="center"/>
    </xf>
    <xf numFmtId="0" fontId="11" fillId="0" borderId="39" xfId="2" applyFont="1" applyBorder="1" applyAlignment="1">
      <alignment horizontal="center"/>
    </xf>
    <xf numFmtId="0" fontId="13" fillId="0" borderId="42" xfId="2" applyFont="1" applyBorder="1" applyAlignment="1">
      <alignment horizontal="center"/>
    </xf>
    <xf numFmtId="0" fontId="2" fillId="0" borderId="45" xfId="2" applyBorder="1"/>
    <xf numFmtId="0" fontId="2" fillId="0" borderId="46" xfId="2" applyBorder="1"/>
    <xf numFmtId="0" fontId="1" fillId="0" borderId="46" xfId="2" applyFont="1" applyBorder="1"/>
    <xf numFmtId="40" fontId="1" fillId="0" borderId="46" xfId="2" applyNumberFormat="1" applyFont="1" applyBorder="1"/>
    <xf numFmtId="0" fontId="1" fillId="0" borderId="47" xfId="2" applyFont="1" applyBorder="1"/>
    <xf numFmtId="0" fontId="2" fillId="0" borderId="48" xfId="2" applyBorder="1"/>
    <xf numFmtId="0" fontId="10" fillId="0" borderId="49" xfId="2" applyFont="1" applyBorder="1" applyAlignment="1">
      <alignment horizontal="centerContinuous"/>
    </xf>
    <xf numFmtId="0" fontId="2" fillId="0" borderId="49" xfId="2" applyBorder="1" applyAlignment="1">
      <alignment horizontal="centerContinuous"/>
    </xf>
    <xf numFmtId="0" fontId="1" fillId="0" borderId="49" xfId="2" applyFont="1" applyBorder="1"/>
    <xf numFmtId="40" fontId="15" fillId="0" borderId="6" xfId="2" applyNumberFormat="1" applyFont="1" applyBorder="1"/>
    <xf numFmtId="0" fontId="7" fillId="0" borderId="51" xfId="2" applyFont="1" applyBorder="1" applyAlignment="1">
      <alignment horizontal="centerContinuous"/>
    </xf>
    <xf numFmtId="0" fontId="8" fillId="0" borderId="52" xfId="2" applyFont="1" applyBorder="1" applyAlignment="1">
      <alignment horizontal="centerContinuous"/>
    </xf>
    <xf numFmtId="0" fontId="5" fillId="0" borderId="52" xfId="2" applyFont="1" applyBorder="1" applyAlignment="1">
      <alignment horizontal="centerContinuous"/>
    </xf>
    <xf numFmtId="0" fontId="5" fillId="0" borderId="53" xfId="2" applyFont="1" applyBorder="1" applyAlignment="1">
      <alignment horizontal="centerContinuous"/>
    </xf>
    <xf numFmtId="0" fontId="4" fillId="0" borderId="35" xfId="2" applyFont="1" applyBorder="1" applyAlignment="1">
      <alignment horizontal="center"/>
    </xf>
    <xf numFmtId="0" fontId="4" fillId="0" borderId="54" xfId="2" applyFont="1" applyBorder="1" applyAlignment="1">
      <alignment horizontal="center"/>
    </xf>
    <xf numFmtId="0" fontId="5" fillId="0" borderId="54" xfId="2" applyFont="1" applyBorder="1" applyAlignment="1">
      <alignment horizontal="centerContinuous"/>
    </xf>
    <xf numFmtId="0" fontId="5" fillId="0" borderId="55" xfId="2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4" fillId="0" borderId="56" xfId="2" applyFont="1" applyBorder="1" applyAlignment="1">
      <alignment horizontal="center"/>
    </xf>
    <xf numFmtId="0" fontId="4" fillId="0" borderId="57" xfId="2" applyFont="1" applyBorder="1" applyAlignment="1">
      <alignment horizontal="center"/>
    </xf>
    <xf numFmtId="0" fontId="5" fillId="0" borderId="57" xfId="2" applyFont="1" applyBorder="1" applyAlignment="1">
      <alignment horizontal="center"/>
    </xf>
    <xf numFmtId="0" fontId="5" fillId="0" borderId="4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44" xfId="2" applyFont="1" applyBorder="1" applyAlignment="1">
      <alignment horizontal="center"/>
    </xf>
    <xf numFmtId="0" fontId="5" fillId="0" borderId="22" xfId="2" applyFont="1" applyBorder="1"/>
    <xf numFmtId="40" fontId="5" fillId="0" borderId="22" xfId="2" applyNumberFormat="1" applyFont="1" applyBorder="1"/>
    <xf numFmtId="40" fontId="2" fillId="0" borderId="0" xfId="2" applyNumberFormat="1" applyProtection="1">
      <protection locked="0"/>
    </xf>
    <xf numFmtId="0" fontId="5" fillId="0" borderId="58" xfId="2" applyFont="1" applyBorder="1" applyAlignment="1">
      <alignment horizontal="center"/>
    </xf>
    <xf numFmtId="0" fontId="5" fillId="0" borderId="27" xfId="2" applyFont="1" applyBorder="1"/>
    <xf numFmtId="40" fontId="5" fillId="0" borderId="27" xfId="2" applyNumberFormat="1" applyFont="1" applyBorder="1"/>
    <xf numFmtId="0" fontId="5" fillId="0" borderId="59" xfId="2" applyFont="1" applyBorder="1"/>
    <xf numFmtId="0" fontId="5" fillId="0" borderId="43" xfId="2" applyFont="1" applyBorder="1"/>
    <xf numFmtId="40" fontId="5" fillId="0" borderId="43" xfId="2" applyNumberFormat="1" applyFont="1" applyBorder="1"/>
    <xf numFmtId="0" fontId="5" fillId="0" borderId="55" xfId="2" applyFont="1" applyBorder="1"/>
    <xf numFmtId="0" fontId="5" fillId="0" borderId="58" xfId="2" applyFont="1" applyBorder="1"/>
    <xf numFmtId="0" fontId="10" fillId="0" borderId="35" xfId="2" applyFont="1" applyBorder="1" applyAlignment="1">
      <alignment horizontal="centerContinuous"/>
    </xf>
    <xf numFmtId="0" fontId="4" fillId="0" borderId="38" xfId="2" applyFont="1" applyBorder="1" applyAlignment="1">
      <alignment horizontal="centerContinuous"/>
    </xf>
    <xf numFmtId="0" fontId="4" fillId="0" borderId="38" xfId="2" applyFont="1" applyBorder="1"/>
    <xf numFmtId="40" fontId="15" fillId="0" borderId="38" xfId="2" applyNumberFormat="1" applyFont="1" applyBorder="1"/>
    <xf numFmtId="40" fontId="15" fillId="0" borderId="55" xfId="2" applyNumberFormat="1" applyFont="1" applyBorder="1"/>
    <xf numFmtId="0" fontId="10" fillId="0" borderId="60" xfId="2" applyFont="1" applyBorder="1" applyAlignment="1">
      <alignment horizontal="centerContinuous"/>
    </xf>
    <xf numFmtId="0" fontId="4" fillId="0" borderId="6" xfId="2" applyFont="1" applyBorder="1" applyAlignment="1">
      <alignment horizontal="centerContinuous"/>
    </xf>
    <xf numFmtId="0" fontId="4" fillId="0" borderId="6" xfId="2" applyFont="1" applyBorder="1"/>
    <xf numFmtId="0" fontId="2" fillId="0" borderId="31" xfId="2" applyBorder="1" applyProtection="1">
      <protection locked="0"/>
    </xf>
    <xf numFmtId="0" fontId="4" fillId="0" borderId="31" xfId="2" applyFont="1" applyBorder="1" applyAlignment="1" applyProtection="1">
      <alignment horizontal="left" vertical="top"/>
      <protection locked="0"/>
    </xf>
    <xf numFmtId="0" fontId="4" fillId="0" borderId="0" xfId="2" applyFont="1" applyAlignment="1" applyProtection="1">
      <alignment horizontal="centerContinuous" vertical="center"/>
      <protection locked="0"/>
    </xf>
    <xf numFmtId="0" fontId="4" fillId="0" borderId="61" xfId="2" applyFont="1" applyBorder="1" applyAlignment="1" applyProtection="1">
      <alignment horizontal="centerContinuous" vertical="center"/>
      <protection locked="0"/>
    </xf>
    <xf numFmtId="0" fontId="4" fillId="0" borderId="0" xfId="2" applyFont="1" applyProtection="1">
      <protection locked="0"/>
    </xf>
    <xf numFmtId="0" fontId="4" fillId="0" borderId="62" xfId="2" applyFont="1" applyBorder="1" applyProtection="1">
      <protection locked="0"/>
    </xf>
    <xf numFmtId="0" fontId="4" fillId="0" borderId="63" xfId="2" applyFont="1" applyBorder="1" applyProtection="1">
      <protection locked="0"/>
    </xf>
    <xf numFmtId="0" fontId="4" fillId="0" borderId="64" xfId="2" applyFont="1" applyBorder="1" applyAlignment="1" applyProtection="1">
      <alignment horizontal="centerContinuous" vertical="center"/>
      <protection locked="0"/>
    </xf>
    <xf numFmtId="0" fontId="4" fillId="0" borderId="64" xfId="2" applyFont="1" applyBorder="1" applyProtection="1">
      <protection locked="0"/>
    </xf>
    <xf numFmtId="0" fontId="4" fillId="0" borderId="32" xfId="2" applyFont="1" applyBorder="1" applyProtection="1">
      <protection locked="0"/>
    </xf>
    <xf numFmtId="0" fontId="2" fillId="0" borderId="65" xfId="2" applyBorder="1" applyProtection="1">
      <protection locked="0"/>
    </xf>
    <xf numFmtId="0" fontId="2" fillId="0" borderId="66" xfId="2" applyBorder="1" applyProtection="1">
      <protection locked="0"/>
    </xf>
    <xf numFmtId="0" fontId="4" fillId="0" borderId="65" xfId="2" applyFont="1" applyBorder="1" applyAlignment="1" applyProtection="1">
      <alignment horizontal="centerContinuous" vertical="center" wrapText="1"/>
      <protection locked="0"/>
    </xf>
    <xf numFmtId="0" fontId="4" fillId="0" borderId="66" xfId="2" applyFont="1" applyBorder="1" applyAlignment="1" applyProtection="1">
      <alignment horizontal="centerContinuous" vertical="center" wrapText="1"/>
      <protection locked="0"/>
    </xf>
    <xf numFmtId="0" fontId="4" fillId="0" borderId="66" xfId="2" applyFont="1" applyBorder="1" applyAlignment="1" applyProtection="1">
      <alignment horizontal="centerContinuous" vertical="center"/>
      <protection locked="0"/>
    </xf>
    <xf numFmtId="0" fontId="4" fillId="0" borderId="19" xfId="2" applyFont="1" applyBorder="1" applyAlignment="1" applyProtection="1">
      <alignment horizontal="centerContinuous" vertical="center"/>
      <protection locked="0"/>
    </xf>
    <xf numFmtId="0" fontId="4" fillId="0" borderId="66" xfId="2" applyFont="1" applyBorder="1" applyAlignment="1" applyProtection="1">
      <alignment horizontal="centerContinuous"/>
      <protection locked="0"/>
    </xf>
    <xf numFmtId="17" fontId="4" fillId="0" borderId="19" xfId="2" applyNumberFormat="1" applyFont="1" applyBorder="1" applyAlignment="1" applyProtection="1">
      <alignment horizontal="center" vertical="center"/>
      <protection locked="0"/>
    </xf>
    <xf numFmtId="14" fontId="4" fillId="0" borderId="66" xfId="2" applyNumberFormat="1" applyFont="1" applyBorder="1" applyAlignment="1" applyProtection="1">
      <alignment horizontal="center" vertical="center"/>
      <protection locked="0"/>
    </xf>
    <xf numFmtId="17" fontId="4" fillId="0" borderId="66" xfId="2" applyNumberFormat="1" applyFont="1" applyBorder="1" applyAlignment="1" applyProtection="1">
      <alignment horizontal="center" vertical="center"/>
      <protection locked="0"/>
    </xf>
    <xf numFmtId="17" fontId="4" fillId="0" borderId="67" xfId="2" applyNumberFormat="1" applyFont="1" applyBorder="1" applyAlignment="1" applyProtection="1">
      <alignment horizontal="center" vertical="center"/>
      <protection locked="0"/>
    </xf>
    <xf numFmtId="0" fontId="6" fillId="0" borderId="73" xfId="2" applyFont="1" applyBorder="1" applyAlignment="1">
      <alignment horizontal="center" vertical="center" wrapText="1"/>
    </xf>
    <xf numFmtId="166" fontId="2" fillId="0" borderId="0" xfId="2" applyNumberFormat="1" applyProtection="1">
      <protection locked="0"/>
    </xf>
    <xf numFmtId="49" fontId="3" fillId="0" borderId="27" xfId="2" applyNumberFormat="1" applyFont="1" applyBorder="1" applyAlignment="1">
      <alignment horizontal="center"/>
    </xf>
    <xf numFmtId="165" fontId="2" fillId="0" borderId="0" xfId="4" applyFont="1" applyFill="1" applyProtection="1">
      <protection locked="0"/>
    </xf>
    <xf numFmtId="0" fontId="18" fillId="0" borderId="0" xfId="1" applyFont="1"/>
    <xf numFmtId="0" fontId="19" fillId="0" borderId="0" xfId="1" applyFont="1" applyAlignment="1">
      <alignment horizontal="centerContinuous" vertical="center"/>
    </xf>
    <xf numFmtId="0" fontId="20" fillId="0" borderId="0" xfId="1" applyFont="1" applyAlignment="1">
      <alignment horizontal="centerContinuous" vertical="center" wrapText="1"/>
    </xf>
    <xf numFmtId="0" fontId="18" fillId="0" borderId="0" xfId="1" applyFont="1" applyAlignment="1" applyProtection="1">
      <alignment horizontal="centerContinuous"/>
      <protection locked="0"/>
    </xf>
    <xf numFmtId="0" fontId="18" fillId="0" borderId="0" xfId="1" applyFont="1" applyAlignment="1">
      <alignment horizontal="centerContinuous"/>
    </xf>
    <xf numFmtId="0" fontId="18" fillId="2" borderId="0" xfId="1" applyFont="1" applyFill="1"/>
    <xf numFmtId="0" fontId="18" fillId="0" borderId="0" xfId="1" applyFont="1" applyAlignment="1">
      <alignment horizontal="left" vertical="center"/>
    </xf>
    <xf numFmtId="0" fontId="20" fillId="0" borderId="70" xfId="1" applyFont="1" applyBorder="1" applyAlignment="1">
      <alignment horizontal="left" vertical="center"/>
    </xf>
    <xf numFmtId="0" fontId="20" fillId="0" borderId="14" xfId="1" applyFont="1" applyBorder="1" applyAlignment="1" applyProtection="1">
      <alignment horizontal="left" vertical="center"/>
      <protection locked="0"/>
    </xf>
    <xf numFmtId="0" fontId="20" fillId="0" borderId="8" xfId="1" applyFont="1" applyBorder="1" applyAlignment="1">
      <alignment horizontal="left" vertical="center"/>
    </xf>
    <xf numFmtId="0" fontId="20" fillId="0" borderId="9" xfId="1" applyFont="1" applyBorder="1" applyAlignment="1">
      <alignment horizontal="left" vertical="center"/>
    </xf>
    <xf numFmtId="0" fontId="20" fillId="0" borderId="11" xfId="1" applyFont="1" applyBorder="1" applyAlignment="1" applyProtection="1">
      <alignment horizontal="center" wrapText="1"/>
      <protection locked="0"/>
    </xf>
    <xf numFmtId="0" fontId="20" fillId="0" borderId="13" xfId="1" applyFont="1" applyBorder="1" applyAlignment="1" applyProtection="1">
      <alignment horizontal="centerContinuous" vertical="center"/>
      <protection locked="0"/>
    </xf>
    <xf numFmtId="0" fontId="20" fillId="0" borderId="15" xfId="1" applyFont="1" applyBorder="1" applyAlignment="1">
      <alignment horizontal="centerContinuous" vertical="center"/>
    </xf>
    <xf numFmtId="0" fontId="20" fillId="0" borderId="20" xfId="1" applyFont="1" applyBorder="1" applyAlignment="1" applyProtection="1">
      <alignment horizontal="center" vertical="center" wrapText="1"/>
      <protection locked="0"/>
    </xf>
    <xf numFmtId="1" fontId="20" fillId="0" borderId="71" xfId="1" applyNumberFormat="1" applyFont="1" applyBorder="1" applyAlignment="1">
      <alignment horizontal="left" vertical="center" wrapText="1"/>
    </xf>
    <xf numFmtId="4" fontId="18" fillId="0" borderId="0" xfId="1" applyNumberFormat="1" applyFont="1"/>
    <xf numFmtId="4" fontId="18" fillId="2" borderId="0" xfId="1" applyNumberFormat="1" applyFont="1" applyFill="1"/>
    <xf numFmtId="0" fontId="18" fillId="0" borderId="22" xfId="1" applyFont="1" applyBorder="1" applyAlignment="1">
      <alignment horizontal="center" vertical="center"/>
    </xf>
    <xf numFmtId="0" fontId="20" fillId="0" borderId="71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center" vertical="center"/>
    </xf>
    <xf numFmtId="4" fontId="18" fillId="0" borderId="23" xfId="1" applyNumberFormat="1" applyFont="1" applyBorder="1" applyAlignment="1" applyProtection="1">
      <alignment horizontal="right" vertical="center"/>
      <protection locked="0"/>
    </xf>
    <xf numFmtId="4" fontId="18" fillId="0" borderId="23" xfId="1" applyNumberFormat="1" applyFont="1" applyBorder="1" applyAlignment="1">
      <alignment horizontal="right" vertical="center"/>
    </xf>
    <xf numFmtId="1" fontId="20" fillId="0" borderId="68" xfId="1" applyNumberFormat="1" applyFont="1" applyBorder="1" applyAlignment="1">
      <alignment horizontal="left" vertical="center"/>
    </xf>
    <xf numFmtId="0" fontId="20" fillId="0" borderId="23" xfId="1" applyFont="1" applyBorder="1" applyAlignment="1">
      <alignment vertical="center"/>
    </xf>
    <xf numFmtId="4" fontId="20" fillId="0" borderId="23" xfId="1" applyNumberFormat="1" applyFont="1" applyBorder="1" applyAlignment="1" applyProtection="1">
      <alignment horizontal="right" vertical="center"/>
      <protection locked="0"/>
    </xf>
    <xf numFmtId="4" fontId="20" fillId="0" borderId="69" xfId="1" applyNumberFormat="1" applyFont="1" applyBorder="1" applyAlignment="1">
      <alignment horizontal="right" vertical="center"/>
    </xf>
    <xf numFmtId="0" fontId="23" fillId="0" borderId="0" xfId="1" applyFont="1"/>
    <xf numFmtId="165" fontId="18" fillId="0" borderId="0" xfId="4" applyFont="1" applyFill="1"/>
    <xf numFmtId="165" fontId="18" fillId="0" borderId="0" xfId="4" applyFont="1" applyFill="1" applyBorder="1"/>
    <xf numFmtId="165" fontId="18" fillId="0" borderId="0" xfId="1" applyNumberFormat="1" applyFont="1"/>
    <xf numFmtId="2" fontId="18" fillId="0" borderId="0" xfId="1" applyNumberFormat="1" applyFont="1"/>
    <xf numFmtId="10" fontId="18" fillId="2" borderId="0" xfId="3" applyNumberFormat="1" applyFont="1" applyFill="1" applyProtection="1"/>
    <xf numFmtId="166" fontId="18" fillId="0" borderId="0" xfId="1" applyNumberFormat="1" applyFont="1"/>
    <xf numFmtId="0" fontId="18" fillId="0" borderId="0" xfId="1" applyFont="1" applyAlignment="1">
      <alignment horizontal="center"/>
    </xf>
    <xf numFmtId="0" fontId="18" fillId="0" borderId="0" xfId="1" applyFont="1" applyAlignment="1">
      <alignment horizontal="center" vertical="center"/>
    </xf>
    <xf numFmtId="0" fontId="2" fillId="0" borderId="0" xfId="1" applyAlignment="1">
      <alignment horizontal="center"/>
    </xf>
    <xf numFmtId="0" fontId="2" fillId="2" borderId="0" xfId="1" applyFill="1" applyAlignment="1">
      <alignment horizontal="center"/>
    </xf>
    <xf numFmtId="0" fontId="21" fillId="0" borderId="30" xfId="1" applyFont="1" applyBorder="1" applyAlignment="1" applyProtection="1">
      <alignment vertical="center" wrapText="1"/>
      <protection locked="0"/>
    </xf>
    <xf numFmtId="4" fontId="3" fillId="2" borderId="55" xfId="1" applyNumberFormat="1" applyFont="1" applyFill="1" applyBorder="1" applyAlignment="1">
      <alignment horizontal="right" vertical="center"/>
    </xf>
    <xf numFmtId="4" fontId="3" fillId="2" borderId="5" xfId="1" applyNumberFormat="1" applyFont="1" applyFill="1" applyBorder="1" applyAlignment="1">
      <alignment horizontal="right" vertical="center"/>
    </xf>
    <xf numFmtId="0" fontId="6" fillId="0" borderId="81" xfId="1" applyFont="1" applyBorder="1" applyAlignment="1" applyProtection="1">
      <alignment horizontal="center" vertical="center" wrapText="1"/>
      <protection locked="0"/>
    </xf>
    <xf numFmtId="10" fontId="21" fillId="0" borderId="82" xfId="3" applyNumberFormat="1" applyFont="1" applyFill="1" applyBorder="1" applyAlignment="1" applyProtection="1">
      <alignment horizontal="center" vertical="center" wrapText="1"/>
      <protection locked="0"/>
    </xf>
    <xf numFmtId="7" fontId="3" fillId="0" borderId="69" xfId="5" applyNumberFormat="1" applyFont="1" applyFill="1" applyBorder="1" applyAlignment="1" applyProtection="1">
      <alignment horizontal="right" vertical="center"/>
    </xf>
    <xf numFmtId="0" fontId="3" fillId="0" borderId="21" xfId="1" applyFont="1" applyBorder="1" applyAlignment="1">
      <alignment horizontal="center" vertical="center" wrapText="1"/>
    </xf>
    <xf numFmtId="0" fontId="3" fillId="0" borderId="20" xfId="1" applyFont="1" applyBorder="1" applyAlignment="1" applyProtection="1">
      <alignment horizontal="center" vertical="center" wrapText="1"/>
      <protection locked="0"/>
    </xf>
    <xf numFmtId="0" fontId="3" fillId="0" borderId="20" xfId="1" applyFont="1" applyBorder="1" applyAlignment="1">
      <alignment horizontal="center" vertical="center" wrapText="1"/>
    </xf>
    <xf numFmtId="7" fontId="3" fillId="0" borderId="0" xfId="5" applyNumberFormat="1" applyFont="1" applyFill="1" applyBorder="1" applyAlignment="1" applyProtection="1">
      <alignment horizontal="right" vertical="center"/>
    </xf>
    <xf numFmtId="0" fontId="20" fillId="0" borderId="14" xfId="1" applyFont="1" applyBorder="1" applyAlignment="1" applyProtection="1">
      <alignment horizontal="center" vertical="center"/>
      <protection locked="0"/>
    </xf>
    <xf numFmtId="49" fontId="18" fillId="0" borderId="23" xfId="1" applyNumberFormat="1" applyFont="1" applyBorder="1" applyAlignment="1">
      <alignment horizontal="center" vertical="center" wrapText="1"/>
    </xf>
    <xf numFmtId="4" fontId="20" fillId="0" borderId="23" xfId="1" applyNumberFormat="1" applyFont="1" applyBorder="1" applyAlignment="1" applyProtection="1">
      <alignment horizontal="right" vertical="center" wrapText="1"/>
      <protection locked="0"/>
    </xf>
    <xf numFmtId="4" fontId="20" fillId="0" borderId="23" xfId="1" applyNumberFormat="1" applyFont="1" applyBorder="1" applyAlignment="1">
      <alignment horizontal="right" vertical="center" wrapText="1"/>
    </xf>
    <xf numFmtId="0" fontId="3" fillId="0" borderId="72" xfId="1" applyFont="1" applyBorder="1" applyAlignment="1" applyProtection="1">
      <alignment horizontal="center" vertical="center" wrapText="1"/>
      <protection locked="0"/>
    </xf>
    <xf numFmtId="0" fontId="3" fillId="0" borderId="80" xfId="1" applyFont="1" applyBorder="1" applyAlignment="1">
      <alignment horizontal="center" vertical="center" wrapText="1"/>
    </xf>
    <xf numFmtId="4" fontId="18" fillId="0" borderId="68" xfId="1" applyNumberFormat="1" applyFont="1" applyBorder="1" applyAlignment="1" applyProtection="1">
      <alignment horizontal="right" vertical="center"/>
      <protection locked="0"/>
    </xf>
    <xf numFmtId="4" fontId="3" fillId="2" borderId="76" xfId="1" applyNumberFormat="1" applyFont="1" applyFill="1" applyBorder="1" applyAlignment="1">
      <alignment horizontal="right" vertical="center"/>
    </xf>
    <xf numFmtId="4" fontId="3" fillId="2" borderId="71" xfId="1" applyNumberFormat="1" applyFont="1" applyFill="1" applyBorder="1" applyAlignment="1">
      <alignment horizontal="right" vertical="center"/>
    </xf>
    <xf numFmtId="9" fontId="18" fillId="2" borderId="68" xfId="3" applyFont="1" applyFill="1" applyBorder="1" applyAlignment="1">
      <alignment horizontal="right" vertical="center"/>
    </xf>
    <xf numFmtId="4" fontId="20" fillId="0" borderId="23" xfId="1" applyNumberFormat="1" applyFont="1" applyBorder="1" applyAlignment="1">
      <alignment horizontal="right" vertical="center"/>
    </xf>
    <xf numFmtId="0" fontId="18" fillId="2" borderId="23" xfId="1" applyFont="1" applyFill="1" applyBorder="1" applyAlignment="1">
      <alignment horizontal="right" vertical="center"/>
    </xf>
    <xf numFmtId="0" fontId="18" fillId="2" borderId="68" xfId="1" applyFont="1" applyFill="1" applyBorder="1" applyAlignment="1">
      <alignment horizontal="right" vertical="center"/>
    </xf>
    <xf numFmtId="0" fontId="18" fillId="2" borderId="69" xfId="1" applyFont="1" applyFill="1" applyBorder="1" applyAlignment="1">
      <alignment horizontal="right" vertical="center"/>
    </xf>
    <xf numFmtId="0" fontId="2" fillId="2" borderId="86" xfId="1" applyFill="1" applyBorder="1" applyAlignment="1">
      <alignment horizontal="center" vertical="center"/>
    </xf>
    <xf numFmtId="0" fontId="2" fillId="2" borderId="83" xfId="1" applyFill="1" applyBorder="1" applyAlignment="1">
      <alignment horizontal="center" vertical="center"/>
    </xf>
    <xf numFmtId="0" fontId="22" fillId="2" borderId="44" xfId="1" applyFont="1" applyFill="1" applyBorder="1" applyAlignment="1">
      <alignment horizontal="center" vertical="center"/>
    </xf>
    <xf numFmtId="0" fontId="22" fillId="2" borderId="72" xfId="1" applyFont="1" applyFill="1" applyBorder="1" applyAlignment="1">
      <alignment horizontal="center" vertical="center"/>
    </xf>
    <xf numFmtId="0" fontId="22" fillId="2" borderId="80" xfId="1" applyFont="1" applyFill="1" applyBorder="1" applyAlignment="1">
      <alignment horizontal="center" vertical="center" wrapText="1"/>
    </xf>
    <xf numFmtId="4" fontId="20" fillId="0" borderId="68" xfId="1" applyNumberFormat="1" applyFont="1" applyBorder="1" applyAlignment="1" applyProtection="1">
      <alignment horizontal="right" vertical="center" wrapText="1"/>
      <protection locked="0"/>
    </xf>
    <xf numFmtId="0" fontId="3" fillId="0" borderId="84" xfId="1" applyFont="1" applyBorder="1" applyAlignment="1">
      <alignment vertical="center"/>
    </xf>
    <xf numFmtId="0" fontId="22" fillId="2" borderId="80" xfId="1" applyFont="1" applyFill="1" applyBorder="1" applyAlignment="1">
      <alignment horizontal="center" vertical="center"/>
    </xf>
    <xf numFmtId="10" fontId="4" fillId="3" borderId="28" xfId="3" applyNumberFormat="1" applyFont="1" applyFill="1" applyBorder="1" applyProtection="1"/>
    <xf numFmtId="10" fontId="4" fillId="4" borderId="28" xfId="3" applyNumberFormat="1" applyFont="1" applyFill="1" applyBorder="1" applyProtection="1"/>
    <xf numFmtId="0" fontId="13" fillId="3" borderId="40" xfId="2" applyFont="1" applyFill="1" applyBorder="1" applyAlignment="1">
      <alignment horizontal="center"/>
    </xf>
    <xf numFmtId="0" fontId="13" fillId="3" borderId="44" xfId="2" applyFont="1" applyFill="1" applyBorder="1" applyAlignment="1">
      <alignment horizontal="center"/>
    </xf>
    <xf numFmtId="9" fontId="18" fillId="3" borderId="44" xfId="3" applyFont="1" applyFill="1" applyBorder="1" applyAlignment="1" applyProtection="1">
      <alignment horizontal="right" vertical="center"/>
    </xf>
    <xf numFmtId="9" fontId="18" fillId="3" borderId="86" xfId="3" applyFont="1" applyFill="1" applyBorder="1" applyAlignment="1" applyProtection="1">
      <alignment horizontal="right" vertical="center"/>
    </xf>
    <xf numFmtId="9" fontId="18" fillId="4" borderId="86" xfId="1" applyNumberFormat="1" applyFont="1" applyFill="1" applyBorder="1" applyAlignment="1">
      <alignment horizontal="right" vertical="center"/>
    </xf>
    <xf numFmtId="9" fontId="18" fillId="4" borderId="44" xfId="1" applyNumberFormat="1" applyFont="1" applyFill="1" applyBorder="1" applyAlignment="1">
      <alignment horizontal="right" vertical="center"/>
    </xf>
    <xf numFmtId="4" fontId="20" fillId="4" borderId="83" xfId="1" applyNumberFormat="1" applyFont="1" applyFill="1" applyBorder="1" applyAlignment="1">
      <alignment horizontal="right" vertical="center"/>
    </xf>
    <xf numFmtId="4" fontId="20" fillId="4" borderId="2" xfId="1" applyNumberFormat="1" applyFont="1" applyFill="1" applyBorder="1" applyAlignment="1">
      <alignment horizontal="right" vertical="center"/>
    </xf>
    <xf numFmtId="0" fontId="22" fillId="3" borderId="2" xfId="1" applyFont="1" applyFill="1" applyBorder="1" applyAlignment="1">
      <alignment horizontal="center" vertical="center"/>
    </xf>
    <xf numFmtId="4" fontId="18" fillId="3" borderId="44" xfId="1" applyNumberFormat="1" applyFont="1" applyFill="1" applyBorder="1" applyAlignment="1" applyProtection="1">
      <alignment horizontal="right" vertical="center"/>
      <protection locked="0"/>
    </xf>
    <xf numFmtId="4" fontId="18" fillId="3" borderId="22" xfId="1" applyNumberFormat="1" applyFont="1" applyFill="1" applyBorder="1" applyAlignment="1" applyProtection="1">
      <alignment horizontal="right" vertical="center"/>
      <protection locked="0"/>
    </xf>
    <xf numFmtId="4" fontId="18" fillId="4" borderId="22" xfId="1" applyNumberFormat="1" applyFont="1" applyFill="1" applyBorder="1" applyAlignment="1">
      <alignment horizontal="right" vertical="center"/>
    </xf>
    <xf numFmtId="4" fontId="18" fillId="4" borderId="2" xfId="1" applyNumberFormat="1" applyFont="1" applyFill="1" applyBorder="1" applyAlignment="1">
      <alignment horizontal="right" vertical="center"/>
    </xf>
    <xf numFmtId="0" fontId="20" fillId="0" borderId="14" xfId="1" applyFont="1" applyBorder="1" applyAlignment="1">
      <alignment horizontal="left" vertical="center"/>
    </xf>
    <xf numFmtId="0" fontId="20" fillId="0" borderId="0" xfId="1" applyFont="1" applyAlignment="1">
      <alignment horizontal="left" vertical="center"/>
    </xf>
    <xf numFmtId="0" fontId="20" fillId="0" borderId="30" xfId="1" applyFont="1" applyBorder="1" applyAlignment="1">
      <alignment horizontal="left" vertical="center"/>
    </xf>
    <xf numFmtId="1" fontId="20" fillId="0" borderId="23" xfId="1" applyNumberFormat="1" applyFont="1" applyBorder="1" applyAlignment="1">
      <alignment horizontal="left" vertical="center" wrapText="1"/>
    </xf>
    <xf numFmtId="0" fontId="20" fillId="0" borderId="23" xfId="1" applyFont="1" applyBorder="1" applyAlignment="1">
      <alignment horizontal="left" vertical="center" wrapText="1"/>
    </xf>
    <xf numFmtId="1" fontId="20" fillId="0" borderId="23" xfId="1" applyNumberFormat="1" applyFont="1" applyBorder="1" applyAlignment="1">
      <alignment horizontal="left" vertical="center"/>
    </xf>
    <xf numFmtId="0" fontId="18" fillId="2" borderId="17" xfId="1" applyFont="1" applyFill="1" applyBorder="1" applyAlignment="1">
      <alignment horizontal="left" vertical="center"/>
    </xf>
    <xf numFmtId="0" fontId="2" fillId="0" borderId="22" xfId="1" applyBorder="1" applyAlignment="1">
      <alignment horizontal="center" vertical="center"/>
    </xf>
    <xf numFmtId="0" fontId="18" fillId="0" borderId="17" xfId="1" applyFont="1" applyBorder="1" applyAlignment="1">
      <alignment horizontal="left" vertical="center"/>
    </xf>
    <xf numFmtId="0" fontId="6" fillId="0" borderId="74" xfId="1" applyFont="1" applyBorder="1" applyAlignment="1" applyProtection="1">
      <alignment horizontal="left" vertical="center"/>
      <protection locked="0"/>
    </xf>
    <xf numFmtId="0" fontId="2" fillId="2" borderId="44" xfId="1" applyFill="1" applyBorder="1" applyAlignment="1">
      <alignment vertical="center"/>
    </xf>
    <xf numFmtId="0" fontId="2" fillId="0" borderId="44" xfId="1" applyBorder="1" applyAlignment="1">
      <alignment vertical="center"/>
    </xf>
    <xf numFmtId="0" fontId="6" fillId="0" borderId="75" xfId="1" applyFont="1" applyBorder="1" applyAlignment="1" applyProtection="1">
      <alignment vertical="center" wrapText="1"/>
      <protection locked="0"/>
    </xf>
    <xf numFmtId="0" fontId="7" fillId="0" borderId="0" xfId="1" applyFont="1" applyAlignment="1">
      <alignment horizontal="left" vertical="center"/>
    </xf>
    <xf numFmtId="0" fontId="2" fillId="0" borderId="14" xfId="2" quotePrefix="1" applyBorder="1" applyAlignment="1">
      <alignment horizontal="left" vertical="center" indent="3"/>
    </xf>
    <xf numFmtId="49" fontId="2" fillId="2" borderId="22" xfId="1" applyNumberFormat="1" applyFill="1" applyBorder="1" applyAlignment="1">
      <alignment vertical="center" wrapText="1"/>
    </xf>
    <xf numFmtId="4" fontId="2" fillId="3" borderId="22" xfId="1" applyNumberFormat="1" applyFill="1" applyBorder="1" applyAlignment="1" applyProtection="1">
      <alignment horizontal="right" vertical="center"/>
      <protection locked="0"/>
    </xf>
    <xf numFmtId="0" fontId="13" fillId="4" borderId="41" xfId="2" applyFont="1" applyFill="1" applyBorder="1" applyAlignment="1">
      <alignment vertical="center"/>
    </xf>
    <xf numFmtId="0" fontId="16" fillId="4" borderId="22" xfId="2" applyFont="1" applyFill="1" applyBorder="1" applyAlignment="1">
      <alignment vertical="center"/>
    </xf>
    <xf numFmtId="0" fontId="13" fillId="3" borderId="42" xfId="2" applyFont="1" applyFill="1" applyBorder="1" applyAlignment="1">
      <alignment vertical="center"/>
    </xf>
    <xf numFmtId="40" fontId="13" fillId="4" borderId="43" xfId="2" applyNumberFormat="1" applyFont="1" applyFill="1" applyBorder="1" applyAlignment="1" applyProtection="1">
      <alignment vertical="center"/>
      <protection locked="0"/>
    </xf>
    <xf numFmtId="2" fontId="13" fillId="4" borderId="4" xfId="2" applyNumberFormat="1" applyFont="1" applyFill="1" applyBorder="1" applyAlignment="1">
      <alignment vertical="center"/>
    </xf>
    <xf numFmtId="0" fontId="13" fillId="3" borderId="22" xfId="2" applyFont="1" applyFill="1" applyBorder="1" applyAlignment="1">
      <alignment vertical="center"/>
    </xf>
    <xf numFmtId="0" fontId="13" fillId="4" borderId="41" xfId="2" applyFont="1" applyFill="1" applyBorder="1" applyAlignment="1">
      <alignment vertical="center" wrapText="1"/>
    </xf>
    <xf numFmtId="0" fontId="14" fillId="4" borderId="22" xfId="2" applyFont="1" applyFill="1" applyBorder="1" applyAlignment="1">
      <alignment vertical="center"/>
    </xf>
    <xf numFmtId="0" fontId="13" fillId="3" borderId="17" xfId="2" applyFont="1" applyFill="1" applyBorder="1" applyAlignment="1">
      <alignment vertical="center"/>
    </xf>
    <xf numFmtId="2" fontId="13" fillId="3" borderId="42" xfId="2" applyNumberFormat="1" applyFont="1" applyFill="1" applyBorder="1" applyAlignment="1">
      <alignment vertical="center"/>
    </xf>
    <xf numFmtId="40" fontId="1" fillId="0" borderId="22" xfId="2" applyNumberFormat="1" applyFont="1" applyBorder="1"/>
    <xf numFmtId="49" fontId="2" fillId="2" borderId="22" xfId="1" applyNumberFormat="1" applyFill="1" applyBorder="1" applyAlignment="1">
      <alignment vertical="center"/>
    </xf>
    <xf numFmtId="0" fontId="18" fillId="0" borderId="9" xfId="1" applyFont="1" applyBorder="1" applyAlignment="1">
      <alignment vertical="center"/>
    </xf>
    <xf numFmtId="0" fontId="18" fillId="0" borderId="30" xfId="1" applyFont="1" applyBorder="1" applyAlignment="1">
      <alignment vertical="center"/>
    </xf>
    <xf numFmtId="49" fontId="18" fillId="2" borderId="30" xfId="1" applyNumberFormat="1" applyFont="1" applyFill="1" applyBorder="1" applyAlignment="1">
      <alignment vertical="center"/>
    </xf>
    <xf numFmtId="0" fontId="18" fillId="0" borderId="30" xfId="1" applyFont="1" applyBorder="1" applyAlignment="1">
      <alignment horizontal="center" vertical="center"/>
    </xf>
    <xf numFmtId="4" fontId="18" fillId="0" borderId="87" xfId="1" applyNumberFormat="1" applyFont="1" applyBorder="1" applyAlignment="1" applyProtection="1">
      <alignment horizontal="right" vertical="center"/>
      <protection locked="0"/>
    </xf>
    <xf numFmtId="7" fontId="18" fillId="0" borderId="0" xfId="1" applyNumberFormat="1" applyFont="1"/>
    <xf numFmtId="49" fontId="2" fillId="0" borderId="22" xfId="1" applyNumberFormat="1" applyBorder="1" applyAlignment="1">
      <alignment vertical="center" wrapText="1"/>
    </xf>
    <xf numFmtId="0" fontId="20" fillId="0" borderId="27" xfId="1" applyFont="1" applyBorder="1" applyAlignment="1">
      <alignment horizontal="left" vertical="center"/>
    </xf>
    <xf numFmtId="49" fontId="21" fillId="0" borderId="53" xfId="1" applyNumberFormat="1" applyFont="1" applyBorder="1" applyAlignment="1" applyProtection="1">
      <alignment horizontal="center" vertical="center"/>
      <protection locked="0"/>
    </xf>
    <xf numFmtId="0" fontId="3" fillId="0" borderId="14" xfId="1" applyFont="1" applyBorder="1" applyAlignment="1">
      <alignment horizontal="left" vertical="center"/>
    </xf>
    <xf numFmtId="49" fontId="6" fillId="0" borderId="15" xfId="1" applyNumberFormat="1" applyFont="1" applyBorder="1" applyAlignment="1" applyProtection="1">
      <alignment horizontal="center" vertical="center"/>
      <protection locked="0"/>
    </xf>
    <xf numFmtId="9" fontId="2" fillId="3" borderId="40" xfId="3" applyFont="1" applyFill="1" applyBorder="1" applyAlignment="1" applyProtection="1">
      <alignment horizontal="right" vertical="center"/>
    </xf>
    <xf numFmtId="4" fontId="20" fillId="4" borderId="4" xfId="1" applyNumberFormat="1" applyFont="1" applyFill="1" applyBorder="1" applyAlignment="1">
      <alignment horizontal="right" vertical="center"/>
    </xf>
    <xf numFmtId="9" fontId="18" fillId="4" borderId="40" xfId="1" applyNumberFormat="1" applyFont="1" applyFill="1" applyBorder="1" applyAlignment="1">
      <alignment horizontal="right" vertical="center"/>
    </xf>
    <xf numFmtId="4" fontId="18" fillId="4" borderId="34" xfId="1" applyNumberFormat="1" applyFont="1" applyFill="1" applyBorder="1" applyAlignment="1">
      <alignment horizontal="right" vertical="center"/>
    </xf>
    <xf numFmtId="4" fontId="18" fillId="3" borderId="33" xfId="1" applyNumberFormat="1" applyFont="1" applyFill="1" applyBorder="1" applyAlignment="1" applyProtection="1">
      <alignment horizontal="right" vertical="center"/>
      <protection locked="0"/>
    </xf>
    <xf numFmtId="4" fontId="18" fillId="4" borderId="80" xfId="1" applyNumberFormat="1" applyFont="1" applyFill="1" applyBorder="1" applyAlignment="1">
      <alignment horizontal="right" vertical="center"/>
    </xf>
    <xf numFmtId="4" fontId="18" fillId="3" borderId="72" xfId="1" applyNumberFormat="1" applyFont="1" applyFill="1" applyBorder="1" applyAlignment="1" applyProtection="1">
      <alignment horizontal="right" vertical="center"/>
      <protection locked="0"/>
    </xf>
    <xf numFmtId="0" fontId="2" fillId="0" borderId="31" xfId="2" applyBorder="1" applyAlignment="1" applyProtection="1">
      <alignment horizontal="left" vertical="top"/>
      <protection locked="0"/>
    </xf>
    <xf numFmtId="0" fontId="2" fillId="0" borderId="61" xfId="2" applyBorder="1" applyProtection="1">
      <protection locked="0"/>
    </xf>
    <xf numFmtId="4" fontId="20" fillId="4" borderId="80" xfId="1" applyNumberFormat="1" applyFont="1" applyFill="1" applyBorder="1" applyAlignment="1">
      <alignment horizontal="right" vertical="center"/>
    </xf>
    <xf numFmtId="9" fontId="18" fillId="4" borderId="72" xfId="1" applyNumberFormat="1" applyFont="1" applyFill="1" applyBorder="1" applyAlignment="1">
      <alignment horizontal="right" vertical="center"/>
    </xf>
    <xf numFmtId="9" fontId="18" fillId="3" borderId="72" xfId="3" applyFont="1" applyFill="1" applyBorder="1" applyAlignment="1" applyProtection="1">
      <alignment horizontal="right" vertical="center"/>
    </xf>
    <xf numFmtId="0" fontId="18" fillId="0" borderId="17" xfId="1" applyFont="1" applyBorder="1" applyAlignment="1">
      <alignment horizontal="center" vertical="center"/>
    </xf>
    <xf numFmtId="0" fontId="2" fillId="0" borderId="22" xfId="6" applyBorder="1" applyAlignment="1">
      <alignment vertical="center" wrapText="1"/>
    </xf>
    <xf numFmtId="0" fontId="2" fillId="0" borderId="22" xfId="0" applyFont="1" applyBorder="1" applyAlignment="1">
      <alignment horizontal="left" vertical="center"/>
    </xf>
    <xf numFmtId="164" fontId="18" fillId="0" borderId="0" xfId="1" applyNumberFormat="1" applyFont="1"/>
    <xf numFmtId="44" fontId="18" fillId="0" borderId="0" xfId="5" applyFont="1"/>
    <xf numFmtId="0" fontId="2" fillId="0" borderId="22" xfId="7" applyFont="1" applyBorder="1" applyAlignment="1">
      <alignment horizontal="left" vertical="center"/>
    </xf>
    <xf numFmtId="2" fontId="15" fillId="0" borderId="50" xfId="2" applyNumberFormat="1" applyFont="1" applyBorder="1"/>
    <xf numFmtId="14" fontId="22" fillId="3" borderId="2" xfId="1" applyNumberFormat="1" applyFont="1" applyFill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3" fillId="0" borderId="77" xfId="1" applyFont="1" applyBorder="1" applyAlignment="1" applyProtection="1">
      <alignment horizontal="center" vertical="center"/>
      <protection locked="0"/>
    </xf>
    <xf numFmtId="0" fontId="3" fillId="0" borderId="78" xfId="1" applyFont="1" applyBorder="1" applyAlignment="1" applyProtection="1">
      <alignment horizontal="center" vertical="center"/>
      <protection locked="0"/>
    </xf>
    <xf numFmtId="0" fontId="2" fillId="2" borderId="40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6" fillId="0" borderId="79" xfId="1" applyFont="1" applyBorder="1" applyAlignment="1" applyProtection="1">
      <alignment horizontal="left" vertical="center" wrapText="1"/>
      <protection locked="0"/>
    </xf>
    <xf numFmtId="0" fontId="21" fillId="0" borderId="27" xfId="1" applyFont="1" applyBorder="1" applyAlignment="1" applyProtection="1">
      <alignment horizontal="left" vertical="center" wrapText="1"/>
      <protection locked="0"/>
    </xf>
    <xf numFmtId="0" fontId="18" fillId="2" borderId="68" xfId="1" applyFont="1" applyFill="1" applyBorder="1" applyAlignment="1">
      <alignment horizontal="center" vertical="center"/>
    </xf>
    <xf numFmtId="0" fontId="18" fillId="2" borderId="69" xfId="1" applyFont="1" applyFill="1" applyBorder="1" applyAlignment="1">
      <alignment horizontal="center" vertical="center"/>
    </xf>
    <xf numFmtId="0" fontId="3" fillId="2" borderId="68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/>
    </xf>
    <xf numFmtId="0" fontId="3" fillId="2" borderId="69" xfId="1" applyFont="1" applyFill="1" applyBorder="1" applyAlignment="1">
      <alignment horizontal="center" vertical="center"/>
    </xf>
    <xf numFmtId="10" fontId="18" fillId="2" borderId="68" xfId="3" applyNumberFormat="1" applyFont="1" applyFill="1" applyBorder="1" applyAlignment="1" applyProtection="1">
      <alignment horizontal="center" vertical="center"/>
    </xf>
    <xf numFmtId="10" fontId="18" fillId="2" borderId="69" xfId="3" applyNumberFormat="1" applyFont="1" applyFill="1" applyBorder="1" applyAlignment="1" applyProtection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85" xfId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/>
    </xf>
    <xf numFmtId="0" fontId="20" fillId="0" borderId="20" xfId="1" applyFont="1" applyBorder="1" applyAlignment="1">
      <alignment horizontal="center" vertical="center"/>
    </xf>
  </cellXfs>
  <cellStyles count="10">
    <cellStyle name="Moeda" xfId="5" builtinId="4"/>
    <cellStyle name="Moeda 2" xfId="9" xr:uid="{504FD63E-F2DB-45AE-BEEF-A8AB5A5FFA2D}"/>
    <cellStyle name="Normal" xfId="0" builtinId="0"/>
    <cellStyle name="Normal 2" xfId="7" xr:uid="{D953BE09-54C1-4E42-B8A1-7B213BC5C74A}"/>
    <cellStyle name="Normal_analise - pavimentação - analise - lote 03" xfId="1" xr:uid="{00000000-0005-0000-0000-000002000000}"/>
    <cellStyle name="Normal_cro pavimento 3m1" xfId="2" xr:uid="{00000000-0005-0000-0000-000003000000}"/>
    <cellStyle name="Normal_ORÇAMENTO" xfId="6" xr:uid="{EB8C5F56-A679-49B5-8875-8E865DA1B2CA}"/>
    <cellStyle name="Porcentagem" xfId="3" builtinId="5"/>
    <cellStyle name="Vírgula" xfId="4" builtinId="3"/>
    <cellStyle name="Vírgula 2" xfId="8" xr:uid="{A758075B-4F80-4C92-98F7-A082561A0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179292</xdr:colOff>
      <xdr:row>33</xdr:row>
      <xdr:rowOff>67233</xdr:rowOff>
    </xdr:from>
    <xdr:to>
      <xdr:col>2</xdr:col>
      <xdr:colOff>3171264</xdr:colOff>
      <xdr:row>36</xdr:row>
      <xdr:rowOff>1169044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73D03DF-8A55-4120-B763-E28C92587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351" y="7519145"/>
          <a:ext cx="2991972" cy="158366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571500</xdr:colOff>
      <xdr:row>35</xdr:row>
      <xdr:rowOff>85725</xdr:rowOff>
    </xdr:from>
    <xdr:to>
      <xdr:col>7</xdr:col>
      <xdr:colOff>18415</xdr:colOff>
      <xdr:row>36</xdr:row>
      <xdr:rowOff>1048385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105D571-0023-0F73-E96C-0238160B8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275" y="6457950"/>
          <a:ext cx="1590040" cy="112458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2" preserveFormatting="0" connectionId="11" xr16:uid="{00000000-0016-0000-0200-000018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2_1" preserveFormatting="0" connectionId="9" xr16:uid="{00000000-0016-0000-0200-00001D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7" preserveFormatting="0" connectionId="33" xr16:uid="{00000000-0016-0000-0200-000016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6" preserveFormatting="0" connectionId="25" xr16:uid="{00000000-0016-0000-0200-00001C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6" preserveFormatting="0" connectionId="31" xr16:uid="{00000000-0016-0000-0200-000015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5" preserveFormatting="0" connectionId="29" xr16:uid="{00000000-0016-0000-0200-000019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7_2" preserveFormatting="0" connectionId="13" xr16:uid="{00000000-0016-0000-0200-00001F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5_2" preserveFormatting="0" connectionId="17" xr16:uid="{00000000-0016-0000-0200-000023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2" preserveFormatting="0" connectionId="27" xr16:uid="{00000000-0016-0000-0200-00001A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2_2" preserveFormatting="0" connectionId="23" xr16:uid="{00000000-0016-0000-0200-00001B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5_2" preserveFormatting="0" connectionId="21" xr16:uid="{00000000-0016-0000-0200-000021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5_1" preserveFormatting="0" connectionId="1" xr16:uid="{00000000-0016-0000-0200-000025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5_1" preserveFormatting="0" connectionId="7" xr16:uid="{00000000-0016-0000-0200-000017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6_2" preserveFormatting="0" connectionId="19" xr16:uid="{00000000-0016-0000-0200-000026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6_2" preserveFormatting="0" connectionId="15" xr16:uid="{00000000-0016-0000-0200-000024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6_1" preserveFormatting="0" connectionId="41" xr16:uid="{00000000-0016-0000-0200-000027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6_1" preserveFormatting="0" connectionId="5" xr16:uid="{00000000-0016-0000-0200-000020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_1" preserveFormatting="0" connectionId="37" xr16:uid="{00000000-0016-0000-0200-00001E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8" preserveFormatting="0" connectionId="35" xr16:uid="{00000000-0016-0000-0200-000028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5" preserveFormatting="0" connectionId="3" xr16:uid="{00000000-0016-0000-0200-000022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17_1" preserveFormatting="0" connectionId="39" xr16:uid="{00000000-0016-0000-0200-000029000000}" autoFormatId="0" applyNumberFormats="0" applyBorderFormats="0" applyFontFormats="1" applyPatternFormats="0" applyAlignmentFormats="0" applyWidthHeightFormats="1">
  <queryTableRefresh preserveSortFilterLayout="0">
    <queryTableFields/>
  </queryTableRefresh>
</query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7.xml"/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3" Type="http://schemas.openxmlformats.org/officeDocument/2006/relationships/queryTable" Target="../queryTables/queryTable2.xml"/><Relationship Id="rId21" Type="http://schemas.openxmlformats.org/officeDocument/2006/relationships/queryTable" Target="../queryTables/queryTable20.xml"/><Relationship Id="rId7" Type="http://schemas.openxmlformats.org/officeDocument/2006/relationships/queryTable" Target="../queryTables/queryTable6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0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5.xml"/><Relationship Id="rId11" Type="http://schemas.openxmlformats.org/officeDocument/2006/relationships/queryTable" Target="../queryTables/queryTable10.xml"/><Relationship Id="rId5" Type="http://schemas.openxmlformats.org/officeDocument/2006/relationships/queryTable" Target="../queryTables/queryTable4.xml"/><Relationship Id="rId15" Type="http://schemas.openxmlformats.org/officeDocument/2006/relationships/queryTable" Target="../queryTables/queryTable14.xml"/><Relationship Id="rId10" Type="http://schemas.openxmlformats.org/officeDocument/2006/relationships/queryTable" Target="../queryTables/queryTable9.xml"/><Relationship Id="rId19" Type="http://schemas.openxmlformats.org/officeDocument/2006/relationships/queryTable" Target="../queryTables/queryTable18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37"/>
  <sheetViews>
    <sheetView showGridLines="0" zoomScale="115" zoomScaleNormal="115" zoomScaleSheetLayoutView="130" workbookViewId="0">
      <selection activeCell="I45" sqref="I45"/>
    </sheetView>
  </sheetViews>
  <sheetFormatPr defaultColWidth="10.6640625" defaultRowHeight="12.75" x14ac:dyDescent="0.2"/>
  <cols>
    <col min="1" max="1" width="2.1640625" style="12" customWidth="1"/>
    <col min="2" max="2" width="13.1640625" style="12" customWidth="1"/>
    <col min="3" max="3" width="76" style="12" bestFit="1" customWidth="1"/>
    <col min="4" max="4" width="3.83203125" style="12" bestFit="1" customWidth="1"/>
    <col min="5" max="12" width="12.5" style="12" customWidth="1"/>
    <col min="13" max="17" width="12.5" style="12" hidden="1" customWidth="1"/>
    <col min="18" max="18" width="18.33203125" style="12" customWidth="1"/>
    <col min="19" max="19" width="14.33203125" style="12" customWidth="1"/>
    <col min="20" max="20" width="10.6640625" style="12" customWidth="1"/>
    <col min="21" max="21" width="18.1640625" style="12" customWidth="1"/>
    <col min="22" max="16384" width="10.6640625" style="12"/>
  </cols>
  <sheetData>
    <row r="1" spans="2:21" ht="13.5" thickBot="1" x14ac:dyDescent="0.25"/>
    <row r="2" spans="2:21" ht="28.5" customHeight="1" x14ac:dyDescent="0.3">
      <c r="B2" s="106" t="s">
        <v>61</v>
      </c>
      <c r="C2" s="209" t="s">
        <v>62</v>
      </c>
      <c r="D2" s="8"/>
      <c r="E2" s="9"/>
      <c r="F2" s="9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1"/>
      <c r="U2" s="109"/>
    </row>
    <row r="3" spans="2:21" ht="15" customHeight="1" x14ac:dyDescent="0.2">
      <c r="B3" s="13" t="s">
        <v>25</v>
      </c>
      <c r="C3" s="14" t="str">
        <f>CALÇAMENTO!D3</f>
        <v>SANTA TEREZA DO OESTE / PR</v>
      </c>
      <c r="D3" s="14"/>
      <c r="E3" s="14"/>
      <c r="F3" s="108"/>
      <c r="G3" s="15"/>
      <c r="H3" s="15"/>
      <c r="I3" s="14"/>
      <c r="J3" s="108"/>
      <c r="K3" s="15"/>
      <c r="L3" s="15"/>
      <c r="M3" s="15"/>
      <c r="N3" s="15"/>
      <c r="O3" s="15"/>
      <c r="P3" s="15"/>
      <c r="Q3" s="15"/>
      <c r="R3" s="16" t="s">
        <v>1</v>
      </c>
      <c r="S3" s="180">
        <v>1</v>
      </c>
    </row>
    <row r="4" spans="2:21" ht="15" customHeight="1" x14ac:dyDescent="0.2">
      <c r="B4" s="13" t="s">
        <v>2</v>
      </c>
      <c r="C4" s="17" t="str">
        <f>CALÇAMENTO!D4</f>
        <v>PAVIMENTAÇÃO POLIÉDRICA LINHA GROLLI - CONVENIO  4500072597</v>
      </c>
      <c r="D4" s="14"/>
      <c r="E4" s="14"/>
      <c r="F4" s="108"/>
      <c r="G4" s="15"/>
      <c r="H4" s="15"/>
      <c r="I4" s="14"/>
      <c r="J4" s="108"/>
      <c r="K4" s="15"/>
      <c r="L4" s="15"/>
      <c r="M4" s="15"/>
      <c r="N4" s="15"/>
      <c r="O4" s="15"/>
      <c r="P4" s="15"/>
      <c r="Q4" s="15"/>
      <c r="R4" s="16" t="s">
        <v>3</v>
      </c>
      <c r="S4" s="181">
        <v>0</v>
      </c>
      <c r="U4" s="109"/>
    </row>
    <row r="5" spans="2:21" ht="15" customHeight="1" thickBot="1" x14ac:dyDescent="0.25">
      <c r="B5" s="18" t="s">
        <v>26</v>
      </c>
      <c r="C5" s="19" t="str">
        <f>CALÇAMENTO!D5</f>
        <v>LINHA GROLLI</v>
      </c>
      <c r="D5" s="20"/>
      <c r="E5" s="20"/>
      <c r="F5" s="21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1"/>
    </row>
    <row r="6" spans="2:21" ht="18" x14ac:dyDescent="0.25">
      <c r="B6" s="23" t="s">
        <v>4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5"/>
    </row>
    <row r="7" spans="2:21" ht="12.75" customHeight="1" x14ac:dyDescent="0.2">
      <c r="B7" s="26" t="s">
        <v>5</v>
      </c>
      <c r="C7" s="27" t="s">
        <v>20</v>
      </c>
      <c r="D7" s="28"/>
      <c r="E7" s="29" t="s">
        <v>6</v>
      </c>
      <c r="F7" s="30"/>
      <c r="G7" s="30"/>
      <c r="H7" s="30"/>
      <c r="I7" s="30"/>
      <c r="J7" s="30"/>
      <c r="K7" s="30"/>
      <c r="L7" s="31"/>
      <c r="M7" s="31"/>
      <c r="N7" s="31"/>
      <c r="O7" s="31"/>
      <c r="P7" s="31"/>
      <c r="Q7" s="31"/>
      <c r="R7" s="32" t="s">
        <v>23</v>
      </c>
      <c r="S7" s="33" t="s">
        <v>7</v>
      </c>
    </row>
    <row r="8" spans="2:21" ht="13.5" thickBot="1" x14ac:dyDescent="0.25">
      <c r="B8" s="34" t="s">
        <v>9</v>
      </c>
      <c r="C8" s="35"/>
      <c r="D8" s="36"/>
      <c r="E8" s="37">
        <v>1</v>
      </c>
      <c r="F8" s="37">
        <v>2</v>
      </c>
      <c r="G8" s="37">
        <v>3</v>
      </c>
      <c r="H8" s="37">
        <v>4</v>
      </c>
      <c r="I8" s="37">
        <v>5</v>
      </c>
      <c r="J8" s="37">
        <v>6</v>
      </c>
      <c r="K8" s="37">
        <v>7</v>
      </c>
      <c r="L8" s="37">
        <v>8</v>
      </c>
      <c r="M8" s="37"/>
      <c r="N8" s="37"/>
      <c r="O8" s="37"/>
      <c r="P8" s="37"/>
      <c r="Q8" s="37"/>
      <c r="R8" s="38" t="s">
        <v>10</v>
      </c>
      <c r="S8" s="39" t="s">
        <v>23</v>
      </c>
      <c r="T8" s="12" t="s">
        <v>8</v>
      </c>
    </row>
    <row r="9" spans="2:21" ht="13.5" thickTop="1" x14ac:dyDescent="0.2">
      <c r="B9" s="182">
        <v>1</v>
      </c>
      <c r="C9" s="218" t="str">
        <f>IF(B9="","",VLOOKUP(B9,CALÇAMENTO!$B$8:$I$25,3,FALSE))</f>
        <v>SERVIÇOS PRELIMINARES E TERRAPLANAGEM</v>
      </c>
      <c r="D9" s="213"/>
      <c r="E9" s="221">
        <v>20</v>
      </c>
      <c r="F9" s="221">
        <v>20</v>
      </c>
      <c r="G9" s="221">
        <v>20</v>
      </c>
      <c r="H9" s="221">
        <v>20</v>
      </c>
      <c r="I9" s="221">
        <v>20</v>
      </c>
      <c r="J9" s="221">
        <v>0</v>
      </c>
      <c r="K9" s="221">
        <v>0</v>
      </c>
      <c r="L9" s="221">
        <v>0</v>
      </c>
      <c r="M9" s="221"/>
      <c r="N9" s="221"/>
      <c r="O9" s="221"/>
      <c r="P9" s="221"/>
      <c r="Q9" s="221"/>
      <c r="R9" s="215">
        <f>CALÇAMENTO!I13</f>
        <v>152357.88</v>
      </c>
      <c r="S9" s="216">
        <f t="shared" ref="S9:S15" si="0">IF(B9="","",IF($R$17=0,0,(R9/$R$17)*100))</f>
        <v>30.314650996530418</v>
      </c>
      <c r="T9" s="107">
        <f t="shared" ref="T9:T15" si="1">SUM(E9:Q9)</f>
        <v>100</v>
      </c>
    </row>
    <row r="10" spans="2:21" x14ac:dyDescent="0.2">
      <c r="B10" s="182">
        <v>2</v>
      </c>
      <c r="C10" s="218" t="str">
        <f>IF(B10="","",VLOOKUP(B10,CALÇAMENTO!$B$8:$I$25,3,FALSE))</f>
        <v>PAVIMENTAÇÃO POLIÉDRICA</v>
      </c>
      <c r="D10" s="213"/>
      <c r="E10" s="221">
        <v>10</v>
      </c>
      <c r="F10" s="221">
        <v>10</v>
      </c>
      <c r="G10" s="221">
        <v>10</v>
      </c>
      <c r="H10" s="221">
        <v>10</v>
      </c>
      <c r="I10" s="221">
        <v>20</v>
      </c>
      <c r="J10" s="221">
        <v>20</v>
      </c>
      <c r="K10" s="221">
        <f t="shared" ref="K10" si="2">100/10</f>
        <v>10</v>
      </c>
      <c r="L10" s="221">
        <v>10</v>
      </c>
      <c r="M10" s="221"/>
      <c r="N10" s="221"/>
      <c r="O10" s="221"/>
      <c r="P10" s="221"/>
      <c r="Q10" s="221"/>
      <c r="R10" s="215">
        <f>CALÇAMENTO!I23</f>
        <v>350230.39</v>
      </c>
      <c r="S10" s="216">
        <f t="shared" si="0"/>
        <v>69.685349003469582</v>
      </c>
      <c r="T10" s="107">
        <f t="shared" si="1"/>
        <v>100</v>
      </c>
    </row>
    <row r="11" spans="2:21" hidden="1" x14ac:dyDescent="0.2">
      <c r="B11" s="182">
        <v>3</v>
      </c>
      <c r="C11" s="218" t="e">
        <f>IF(B11="","",VLOOKUP(B11,CALÇAMENTO!$B$8:$I$25,3,FALSE))</f>
        <v>#N/A</v>
      </c>
      <c r="D11" s="213"/>
      <c r="E11" s="221">
        <v>0</v>
      </c>
      <c r="F11" s="221">
        <v>0</v>
      </c>
      <c r="G11" s="221">
        <v>0</v>
      </c>
      <c r="H11" s="221">
        <v>0</v>
      </c>
      <c r="I11" s="221">
        <v>0</v>
      </c>
      <c r="J11" s="221">
        <v>0</v>
      </c>
      <c r="K11" s="221">
        <v>0</v>
      </c>
      <c r="L11" s="221">
        <v>0</v>
      </c>
      <c r="M11" s="221"/>
      <c r="N11" s="221"/>
      <c r="O11" s="221"/>
      <c r="P11" s="221"/>
      <c r="Q11" s="221"/>
      <c r="R11" s="215" t="e">
        <f>CALÇAMENTO!#REF!</f>
        <v>#REF!</v>
      </c>
      <c r="S11" s="216" t="e">
        <f t="shared" si="0"/>
        <v>#REF!</v>
      </c>
      <c r="T11" s="107">
        <f t="shared" si="1"/>
        <v>0</v>
      </c>
    </row>
    <row r="12" spans="2:21" hidden="1" x14ac:dyDescent="0.2">
      <c r="B12" s="182">
        <v>4</v>
      </c>
      <c r="C12" s="218" t="e">
        <f>IF(B12="","",VLOOKUP(B12,CALÇAMENTO!$B$8:$I$25,3,FALSE))</f>
        <v>#N/A</v>
      </c>
      <c r="D12" s="213"/>
      <c r="E12" s="221">
        <v>0</v>
      </c>
      <c r="F12" s="221">
        <v>0</v>
      </c>
      <c r="G12" s="221">
        <v>0</v>
      </c>
      <c r="H12" s="221">
        <v>0</v>
      </c>
      <c r="I12" s="221">
        <v>0</v>
      </c>
      <c r="J12" s="221">
        <v>0</v>
      </c>
      <c r="K12" s="221">
        <v>0</v>
      </c>
      <c r="L12" s="221">
        <v>0</v>
      </c>
      <c r="M12" s="221"/>
      <c r="N12" s="221"/>
      <c r="O12" s="221"/>
      <c r="P12" s="221"/>
      <c r="Q12" s="221"/>
      <c r="R12" s="215" t="e">
        <f>CALÇAMENTO!#REF!</f>
        <v>#REF!</v>
      </c>
      <c r="S12" s="216" t="e">
        <f t="shared" si="0"/>
        <v>#REF!</v>
      </c>
      <c r="T12" s="107">
        <f t="shared" si="1"/>
        <v>0</v>
      </c>
    </row>
    <row r="13" spans="2:21" hidden="1" x14ac:dyDescent="0.2">
      <c r="B13" s="182">
        <v>5</v>
      </c>
      <c r="C13" s="218" t="e">
        <f>IF(B13="","",VLOOKUP(B13,CALÇAMENTO!$B$8:$I$25,3,FALSE))</f>
        <v>#N/A</v>
      </c>
      <c r="D13" s="213"/>
      <c r="E13" s="221">
        <v>0</v>
      </c>
      <c r="F13" s="221">
        <v>0</v>
      </c>
      <c r="G13" s="221">
        <v>0</v>
      </c>
      <c r="H13" s="221">
        <v>0</v>
      </c>
      <c r="I13" s="221">
        <v>0</v>
      </c>
      <c r="J13" s="221">
        <v>0</v>
      </c>
      <c r="K13" s="221">
        <v>0</v>
      </c>
      <c r="L13" s="221">
        <v>0</v>
      </c>
      <c r="M13" s="221"/>
      <c r="N13" s="221"/>
      <c r="O13" s="221"/>
      <c r="P13" s="221"/>
      <c r="Q13" s="221"/>
      <c r="R13" s="215" t="e">
        <f>CALÇAMENTO!#REF!</f>
        <v>#REF!</v>
      </c>
      <c r="S13" s="216" t="e">
        <f t="shared" si="0"/>
        <v>#REF!</v>
      </c>
      <c r="T13" s="107">
        <f t="shared" si="1"/>
        <v>0</v>
      </c>
    </row>
    <row r="14" spans="2:21" hidden="1" x14ac:dyDescent="0.2">
      <c r="B14" s="182"/>
      <c r="C14" s="212" t="str">
        <f>IF(B14="","",VLOOKUP(B14,#REF!,3,FALSE))</f>
        <v/>
      </c>
      <c r="D14" s="219">
        <v>6</v>
      </c>
      <c r="E14" s="220"/>
      <c r="F14" s="214"/>
      <c r="G14" s="220"/>
      <c r="H14" s="220"/>
      <c r="I14" s="220"/>
      <c r="J14" s="217"/>
      <c r="K14" s="217"/>
      <c r="L14" s="217"/>
      <c r="M14" s="217"/>
      <c r="N14" s="217"/>
      <c r="O14" s="217"/>
      <c r="P14" s="217"/>
      <c r="Q14" s="217"/>
      <c r="R14" s="215" t="str">
        <f>IF(B14="","",SUMIF(#REF!,"S9",#REF!))</f>
        <v/>
      </c>
      <c r="S14" s="216" t="str">
        <f t="shared" si="0"/>
        <v/>
      </c>
      <c r="T14" s="107">
        <f t="shared" si="1"/>
        <v>0</v>
      </c>
    </row>
    <row r="15" spans="2:21" hidden="1" x14ac:dyDescent="0.2">
      <c r="B15" s="183"/>
      <c r="C15" s="212" t="str">
        <f>IF(B15="","",VLOOKUP(B15,#REF!,3,FALSE))</f>
        <v/>
      </c>
      <c r="D15" s="219">
        <v>6</v>
      </c>
      <c r="E15" s="220"/>
      <c r="F15" s="214"/>
      <c r="G15" s="220"/>
      <c r="H15" s="220"/>
      <c r="I15" s="220"/>
      <c r="J15" s="217"/>
      <c r="K15" s="217"/>
      <c r="L15" s="217"/>
      <c r="M15" s="217"/>
      <c r="N15" s="217"/>
      <c r="O15" s="217"/>
      <c r="P15" s="217"/>
      <c r="Q15" s="217"/>
      <c r="R15" s="215" t="str">
        <f>IF(B15="","",SUMIF(#REF!,"S10",#REF!))</f>
        <v/>
      </c>
      <c r="S15" s="216" t="str">
        <f t="shared" si="0"/>
        <v/>
      </c>
      <c r="T15" s="107">
        <f t="shared" si="1"/>
        <v>0</v>
      </c>
    </row>
    <row r="16" spans="2:21" ht="13.5" thickBot="1" x14ac:dyDescent="0.25">
      <c r="B16" s="41"/>
      <c r="C16" s="42"/>
      <c r="D16" s="42"/>
      <c r="E16" s="43"/>
      <c r="F16" s="40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4"/>
      <c r="S16" s="45"/>
    </row>
    <row r="17" spans="2:20" ht="14.25" thickTop="1" thickBot="1" x14ac:dyDescent="0.25">
      <c r="B17" s="46"/>
      <c r="C17" s="47" t="s">
        <v>24</v>
      </c>
      <c r="D17" s="48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50">
        <f>R9+R10</f>
        <v>502588.27</v>
      </c>
      <c r="S17" s="253">
        <f>S9+S10</f>
        <v>100</v>
      </c>
    </row>
    <row r="18" spans="2:20" ht="18.75" thickTop="1" x14ac:dyDescent="0.25">
      <c r="B18" s="51" t="s">
        <v>11</v>
      </c>
      <c r="C18" s="52"/>
      <c r="D18" s="52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4"/>
    </row>
    <row r="19" spans="2:20" ht="13.5" hidden="1" thickBot="1" x14ac:dyDescent="0.25">
      <c r="B19" s="55" t="s">
        <v>9</v>
      </c>
      <c r="C19" s="56"/>
      <c r="D19" s="56"/>
      <c r="E19" s="57" t="s">
        <v>12</v>
      </c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8" t="s">
        <v>23</v>
      </c>
      <c r="S19" s="59" t="s">
        <v>7</v>
      </c>
    </row>
    <row r="20" spans="2:20" ht="13.5" hidden="1" thickTop="1" x14ac:dyDescent="0.2">
      <c r="B20" s="60"/>
      <c r="C20" s="61"/>
      <c r="D20" s="61"/>
      <c r="E20" s="62">
        <v>1</v>
      </c>
      <c r="F20" s="62">
        <v>2</v>
      </c>
      <c r="G20" s="62">
        <v>3</v>
      </c>
      <c r="H20" s="62">
        <v>4</v>
      </c>
      <c r="I20" s="62">
        <v>5</v>
      </c>
      <c r="J20" s="62">
        <v>6</v>
      </c>
      <c r="K20" s="62">
        <v>7</v>
      </c>
      <c r="L20" s="62">
        <v>8</v>
      </c>
      <c r="M20" s="62">
        <v>11</v>
      </c>
      <c r="N20" s="62">
        <v>12</v>
      </c>
      <c r="O20" s="62">
        <v>13</v>
      </c>
      <c r="P20" s="62">
        <v>14</v>
      </c>
      <c r="Q20" s="62">
        <v>15</v>
      </c>
      <c r="R20" s="63" t="s">
        <v>9</v>
      </c>
      <c r="S20" s="64" t="s">
        <v>9</v>
      </c>
    </row>
    <row r="21" spans="2:20" hidden="1" x14ac:dyDescent="0.2">
      <c r="B21" s="65">
        <f>IF(B9="","",B9)</f>
        <v>1</v>
      </c>
      <c r="C21" s="66" t="str">
        <f>IF(B21="","","FINANCIAMENTO")</f>
        <v>FINANCIAMENTO</v>
      </c>
      <c r="D21" s="66" t="s">
        <v>14</v>
      </c>
      <c r="E21" s="222">
        <f t="shared" ref="E21:Q21" si="3">IF(E9="","",((E9/100)*$R$9)*$S$3)</f>
        <v>30471.576000000001</v>
      </c>
      <c r="F21" s="222">
        <f t="shared" si="3"/>
        <v>30471.576000000001</v>
      </c>
      <c r="G21" s="222">
        <f t="shared" si="3"/>
        <v>30471.576000000001</v>
      </c>
      <c r="H21" s="222">
        <f t="shared" si="3"/>
        <v>30471.576000000001</v>
      </c>
      <c r="I21" s="222">
        <f t="shared" si="3"/>
        <v>30471.576000000001</v>
      </c>
      <c r="J21" s="222">
        <f t="shared" si="3"/>
        <v>0</v>
      </c>
      <c r="K21" s="222">
        <f t="shared" si="3"/>
        <v>0</v>
      </c>
      <c r="L21" s="222">
        <f t="shared" si="3"/>
        <v>0</v>
      </c>
      <c r="M21" s="222" t="str">
        <f t="shared" si="3"/>
        <v/>
      </c>
      <c r="N21" s="222" t="str">
        <f t="shared" si="3"/>
        <v/>
      </c>
      <c r="O21" s="222" t="str">
        <f t="shared" si="3"/>
        <v/>
      </c>
      <c r="P21" s="222" t="str">
        <f t="shared" si="3"/>
        <v/>
      </c>
      <c r="Q21" s="222" t="str">
        <f t="shared" si="3"/>
        <v/>
      </c>
      <c r="R21" s="67">
        <f>ROUND(SUM(E21:Q21),2)</f>
        <v>152357.88</v>
      </c>
      <c r="S21" s="2">
        <f>IF($R$32=0,0,(R21/$R$32))</f>
        <v>0.30314650996530418</v>
      </c>
    </row>
    <row r="22" spans="2:20" hidden="1" x14ac:dyDescent="0.2">
      <c r="B22" s="65"/>
      <c r="C22" s="66" t="str">
        <f>IF(B21="","","CONTRAPARTIDA")</f>
        <v>CONTRAPARTIDA</v>
      </c>
      <c r="D22" s="66" t="s">
        <v>14</v>
      </c>
      <c r="E22" s="222">
        <f t="shared" ref="E22:Q22" si="4">IF(E9="","",((E9/100)*$R$9)*$S$4)</f>
        <v>0</v>
      </c>
      <c r="F22" s="222">
        <f t="shared" si="4"/>
        <v>0</v>
      </c>
      <c r="G22" s="222">
        <f t="shared" si="4"/>
        <v>0</v>
      </c>
      <c r="H22" s="222">
        <f t="shared" si="4"/>
        <v>0</v>
      </c>
      <c r="I22" s="222">
        <f t="shared" si="4"/>
        <v>0</v>
      </c>
      <c r="J22" s="222">
        <f t="shared" si="4"/>
        <v>0</v>
      </c>
      <c r="K22" s="222">
        <f t="shared" si="4"/>
        <v>0</v>
      </c>
      <c r="L22" s="222">
        <f t="shared" si="4"/>
        <v>0</v>
      </c>
      <c r="M22" s="222" t="str">
        <f t="shared" si="4"/>
        <v/>
      </c>
      <c r="N22" s="222" t="str">
        <f t="shared" si="4"/>
        <v/>
      </c>
      <c r="O22" s="222" t="str">
        <f t="shared" si="4"/>
        <v/>
      </c>
      <c r="P22" s="222" t="str">
        <f t="shared" si="4"/>
        <v/>
      </c>
      <c r="Q22" s="222" t="str">
        <f t="shared" si="4"/>
        <v/>
      </c>
      <c r="R22" s="67">
        <f t="shared" ref="R22:R27" si="5">SUM(E22:Q22)</f>
        <v>0</v>
      </c>
      <c r="S22" s="2">
        <f>IF($R$32=0,0,(R22/$R$32))</f>
        <v>0</v>
      </c>
      <c r="T22" s="68"/>
    </row>
    <row r="23" spans="2:20" hidden="1" x14ac:dyDescent="0.2">
      <c r="B23" s="65">
        <f>IF(B10="","",B10)</f>
        <v>2</v>
      </c>
      <c r="C23" s="66" t="str">
        <f t="shared" ref="C23" si="6">IF(B23="","","FINANCIAMENTO")</f>
        <v>FINANCIAMENTO</v>
      </c>
      <c r="D23" s="66" t="s">
        <v>14</v>
      </c>
      <c r="E23" s="222">
        <f t="shared" ref="E23:Q23" si="7">IF(E10="","",((E10/100)*$R$10)*$S$3)</f>
        <v>35023.039000000004</v>
      </c>
      <c r="F23" s="222">
        <f t="shared" si="7"/>
        <v>35023.039000000004</v>
      </c>
      <c r="G23" s="222">
        <f t="shared" si="7"/>
        <v>35023.039000000004</v>
      </c>
      <c r="H23" s="222">
        <f t="shared" si="7"/>
        <v>35023.039000000004</v>
      </c>
      <c r="I23" s="222">
        <f t="shared" si="7"/>
        <v>70046.078000000009</v>
      </c>
      <c r="J23" s="222">
        <f t="shared" si="7"/>
        <v>70046.078000000009</v>
      </c>
      <c r="K23" s="222">
        <f t="shared" si="7"/>
        <v>35023.039000000004</v>
      </c>
      <c r="L23" s="222">
        <f t="shared" si="7"/>
        <v>35023.039000000004</v>
      </c>
      <c r="M23" s="222" t="str">
        <f t="shared" si="7"/>
        <v/>
      </c>
      <c r="N23" s="222" t="str">
        <f t="shared" si="7"/>
        <v/>
      </c>
      <c r="O23" s="222" t="str">
        <f t="shared" si="7"/>
        <v/>
      </c>
      <c r="P23" s="222" t="str">
        <f t="shared" si="7"/>
        <v/>
      </c>
      <c r="Q23" s="222" t="str">
        <f t="shared" si="7"/>
        <v/>
      </c>
      <c r="R23" s="67">
        <f t="shared" si="5"/>
        <v>350230.39</v>
      </c>
      <c r="S23" s="2">
        <f>IF($R$32=0,0,(R23/$R$32))</f>
        <v>0.69685349003469577</v>
      </c>
    </row>
    <row r="24" spans="2:20" hidden="1" x14ac:dyDescent="0.2">
      <c r="B24" s="65"/>
      <c r="C24" s="66" t="str">
        <f t="shared" ref="C24" si="8">IF(B23="","","CONTRAPARTIDA")</f>
        <v>CONTRAPARTIDA</v>
      </c>
      <c r="D24" s="66" t="s">
        <v>14</v>
      </c>
      <c r="E24" s="222">
        <f t="shared" ref="E24:Q24" si="9">IF(E10="","",((E10/100)*$R$10)*$S$4)</f>
        <v>0</v>
      </c>
      <c r="F24" s="222">
        <f t="shared" si="9"/>
        <v>0</v>
      </c>
      <c r="G24" s="222">
        <f t="shared" si="9"/>
        <v>0</v>
      </c>
      <c r="H24" s="222">
        <f t="shared" si="9"/>
        <v>0</v>
      </c>
      <c r="I24" s="222">
        <f t="shared" si="9"/>
        <v>0</v>
      </c>
      <c r="J24" s="222">
        <f t="shared" si="9"/>
        <v>0</v>
      </c>
      <c r="K24" s="222">
        <f t="shared" si="9"/>
        <v>0</v>
      </c>
      <c r="L24" s="222">
        <f t="shared" si="9"/>
        <v>0</v>
      </c>
      <c r="M24" s="222" t="str">
        <f t="shared" si="9"/>
        <v/>
      </c>
      <c r="N24" s="222" t="str">
        <f t="shared" si="9"/>
        <v/>
      </c>
      <c r="O24" s="222" t="str">
        <f t="shared" si="9"/>
        <v/>
      </c>
      <c r="P24" s="222" t="str">
        <f t="shared" si="9"/>
        <v/>
      </c>
      <c r="Q24" s="222" t="str">
        <f t="shared" si="9"/>
        <v/>
      </c>
      <c r="R24" s="67">
        <f t="shared" si="5"/>
        <v>0</v>
      </c>
      <c r="S24" s="2">
        <f>IF($R$32=0,0,(R24/$R$32))</f>
        <v>0</v>
      </c>
      <c r="T24" s="68"/>
    </row>
    <row r="25" spans="2:20" hidden="1" x14ac:dyDescent="0.2">
      <c r="B25" s="65"/>
      <c r="C25" s="66" t="e">
        <f>IF(#REF!="","","CONTRAPARTIDA")</f>
        <v>#REF!</v>
      </c>
      <c r="D25" s="66" t="s">
        <v>14</v>
      </c>
      <c r="E25" s="222" t="str">
        <f t="shared" ref="E25:Q25" si="10">IF(E14="","",((E14/100)*$R$14)*$S$4)</f>
        <v/>
      </c>
      <c r="F25" s="222" t="str">
        <f t="shared" si="10"/>
        <v/>
      </c>
      <c r="G25" s="222" t="str">
        <f t="shared" si="10"/>
        <v/>
      </c>
      <c r="H25" s="222" t="str">
        <f t="shared" si="10"/>
        <v/>
      </c>
      <c r="I25" s="222" t="str">
        <f t="shared" si="10"/>
        <v/>
      </c>
      <c r="J25" s="222" t="str">
        <f t="shared" si="10"/>
        <v/>
      </c>
      <c r="K25" s="222" t="str">
        <f t="shared" si="10"/>
        <v/>
      </c>
      <c r="L25" s="222" t="str">
        <f t="shared" si="10"/>
        <v/>
      </c>
      <c r="M25" s="222" t="str">
        <f t="shared" si="10"/>
        <v/>
      </c>
      <c r="N25" s="222" t="str">
        <f t="shared" si="10"/>
        <v/>
      </c>
      <c r="O25" s="222" t="str">
        <f t="shared" si="10"/>
        <v/>
      </c>
      <c r="P25" s="222" t="str">
        <f t="shared" si="10"/>
        <v/>
      </c>
      <c r="Q25" s="222" t="str">
        <f t="shared" si="10"/>
        <v/>
      </c>
      <c r="R25" s="67">
        <f t="shared" si="5"/>
        <v>0</v>
      </c>
      <c r="S25" s="2">
        <f>IF($R$32=0,0,(R25/$R$32))</f>
        <v>0</v>
      </c>
      <c r="T25" s="68"/>
    </row>
    <row r="26" spans="2:20" hidden="1" x14ac:dyDescent="0.2">
      <c r="B26" s="65" t="str">
        <f>IF(B15="","",B15)</f>
        <v/>
      </c>
      <c r="C26" s="66" t="str">
        <f t="shared" ref="C26" si="11">IF(B26="","","FINANCIAMENTO")</f>
        <v/>
      </c>
      <c r="D26" s="66" t="s">
        <v>14</v>
      </c>
      <c r="E26" s="222" t="str">
        <f t="shared" ref="E26:Q26" si="12">IF(E15="","",((E15/100)*$R$15)*$S$3)</f>
        <v/>
      </c>
      <c r="F26" s="222" t="str">
        <f t="shared" si="12"/>
        <v/>
      </c>
      <c r="G26" s="222" t="str">
        <f t="shared" si="12"/>
        <v/>
      </c>
      <c r="H26" s="222" t="str">
        <f t="shared" si="12"/>
        <v/>
      </c>
      <c r="I26" s="222" t="str">
        <f t="shared" si="12"/>
        <v/>
      </c>
      <c r="J26" s="222" t="str">
        <f t="shared" si="12"/>
        <v/>
      </c>
      <c r="K26" s="222" t="str">
        <f t="shared" si="12"/>
        <v/>
      </c>
      <c r="L26" s="222" t="str">
        <f t="shared" si="12"/>
        <v/>
      </c>
      <c r="M26" s="222" t="str">
        <f t="shared" si="12"/>
        <v/>
      </c>
      <c r="N26" s="222" t="str">
        <f t="shared" si="12"/>
        <v/>
      </c>
      <c r="O26" s="222" t="str">
        <f t="shared" si="12"/>
        <v/>
      </c>
      <c r="P26" s="222" t="str">
        <f t="shared" si="12"/>
        <v/>
      </c>
      <c r="Q26" s="222" t="str">
        <f t="shared" si="12"/>
        <v/>
      </c>
      <c r="R26" s="67">
        <f t="shared" si="5"/>
        <v>0</v>
      </c>
      <c r="S26" s="2">
        <f t="shared" ref="S26:S27" si="13">IF($R$32=0,0,(R26/$R$32))</f>
        <v>0</v>
      </c>
    </row>
    <row r="27" spans="2:20" hidden="1" x14ac:dyDescent="0.2">
      <c r="B27" s="65"/>
      <c r="C27" s="66" t="str">
        <f t="shared" ref="C27" si="14">IF(B26="","","CONTRAPARTIDA")</f>
        <v/>
      </c>
      <c r="D27" s="66" t="s">
        <v>14</v>
      </c>
      <c r="E27" s="222" t="str">
        <f t="shared" ref="E27:Q27" si="15">IF(E15="","",((E15/100)*$R$15)*$S$4)</f>
        <v/>
      </c>
      <c r="F27" s="222" t="str">
        <f t="shared" si="15"/>
        <v/>
      </c>
      <c r="G27" s="222" t="str">
        <f t="shared" si="15"/>
        <v/>
      </c>
      <c r="H27" s="222" t="str">
        <f t="shared" si="15"/>
        <v/>
      </c>
      <c r="I27" s="222" t="str">
        <f t="shared" si="15"/>
        <v/>
      </c>
      <c r="J27" s="222" t="str">
        <f t="shared" si="15"/>
        <v/>
      </c>
      <c r="K27" s="222" t="str">
        <f t="shared" si="15"/>
        <v/>
      </c>
      <c r="L27" s="222" t="str">
        <f t="shared" si="15"/>
        <v/>
      </c>
      <c r="M27" s="222" t="str">
        <f t="shared" si="15"/>
        <v/>
      </c>
      <c r="N27" s="222" t="str">
        <f t="shared" si="15"/>
        <v/>
      </c>
      <c r="O27" s="222" t="str">
        <f t="shared" si="15"/>
        <v/>
      </c>
      <c r="P27" s="222" t="str">
        <f t="shared" si="15"/>
        <v/>
      </c>
      <c r="Q27" s="222" t="str">
        <f t="shared" si="15"/>
        <v/>
      </c>
      <c r="R27" s="67">
        <f t="shared" si="5"/>
        <v>0</v>
      </c>
      <c r="S27" s="2">
        <f t="shared" si="13"/>
        <v>0</v>
      </c>
      <c r="T27" s="68"/>
    </row>
    <row r="28" spans="2:20" hidden="1" x14ac:dyDescent="0.2">
      <c r="B28" s="69"/>
      <c r="C28" s="70"/>
      <c r="D28" s="70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3"/>
    </row>
    <row r="29" spans="2:20" hidden="1" x14ac:dyDescent="0.2">
      <c r="B29" s="72" t="s">
        <v>16</v>
      </c>
      <c r="C29" s="73" t="s">
        <v>13</v>
      </c>
      <c r="D29" s="73" t="s">
        <v>14</v>
      </c>
      <c r="E29" s="74">
        <f t="shared" ref="E29:S29" si="16">SUMIF($C$21:$C$27,"FINANCIAMENTO",E$21:E$27)</f>
        <v>65494.615000000005</v>
      </c>
      <c r="F29" s="74">
        <f t="shared" si="16"/>
        <v>65494.615000000005</v>
      </c>
      <c r="G29" s="74">
        <f t="shared" si="16"/>
        <v>65494.615000000005</v>
      </c>
      <c r="H29" s="74">
        <f t="shared" si="16"/>
        <v>65494.615000000005</v>
      </c>
      <c r="I29" s="74">
        <f t="shared" si="16"/>
        <v>100517.65400000001</v>
      </c>
      <c r="J29" s="74">
        <f t="shared" si="16"/>
        <v>70046.078000000009</v>
      </c>
      <c r="K29" s="74">
        <f t="shared" si="16"/>
        <v>35023.039000000004</v>
      </c>
      <c r="L29" s="74">
        <f t="shared" si="16"/>
        <v>35023.039000000004</v>
      </c>
      <c r="M29" s="74">
        <f t="shared" si="16"/>
        <v>0</v>
      </c>
      <c r="N29" s="74">
        <f t="shared" si="16"/>
        <v>0</v>
      </c>
      <c r="O29" s="74">
        <f t="shared" si="16"/>
        <v>0</v>
      </c>
      <c r="P29" s="74">
        <f t="shared" si="16"/>
        <v>0</v>
      </c>
      <c r="Q29" s="74">
        <f t="shared" si="16"/>
        <v>0</v>
      </c>
      <c r="R29" s="74">
        <f t="shared" si="16"/>
        <v>502588.27</v>
      </c>
      <c r="S29" s="4">
        <f t="shared" si="16"/>
        <v>1</v>
      </c>
    </row>
    <row r="30" spans="2:20" hidden="1" x14ac:dyDescent="0.2">
      <c r="B30" s="72" t="s">
        <v>23</v>
      </c>
      <c r="C30" s="75" t="s">
        <v>15</v>
      </c>
      <c r="D30" s="75" t="s">
        <v>14</v>
      </c>
      <c r="E30" s="74">
        <f t="shared" ref="E30:S30" si="17">SUMIF($C$21:$C$27,"CONTRAPARTIDA",E$21:E$27)</f>
        <v>0</v>
      </c>
      <c r="F30" s="74">
        <f t="shared" si="17"/>
        <v>0</v>
      </c>
      <c r="G30" s="74">
        <f t="shared" si="17"/>
        <v>0</v>
      </c>
      <c r="H30" s="74">
        <f t="shared" si="17"/>
        <v>0</v>
      </c>
      <c r="I30" s="74">
        <f t="shared" si="17"/>
        <v>0</v>
      </c>
      <c r="J30" s="74">
        <f t="shared" si="17"/>
        <v>0</v>
      </c>
      <c r="K30" s="74">
        <f t="shared" si="17"/>
        <v>0</v>
      </c>
      <c r="L30" s="74">
        <f t="shared" si="17"/>
        <v>0</v>
      </c>
      <c r="M30" s="74">
        <f t="shared" si="17"/>
        <v>0</v>
      </c>
      <c r="N30" s="74">
        <f t="shared" si="17"/>
        <v>0</v>
      </c>
      <c r="O30" s="74">
        <f t="shared" si="17"/>
        <v>0</v>
      </c>
      <c r="P30" s="74">
        <f t="shared" si="17"/>
        <v>0</v>
      </c>
      <c r="Q30" s="74">
        <f t="shared" si="17"/>
        <v>0</v>
      </c>
      <c r="R30" s="74">
        <f t="shared" si="17"/>
        <v>0</v>
      </c>
      <c r="S30" s="4">
        <f t="shared" si="17"/>
        <v>0</v>
      </c>
    </row>
    <row r="31" spans="2:20" x14ac:dyDescent="0.2">
      <c r="B31" s="76"/>
      <c r="C31" s="70"/>
      <c r="D31" s="70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3"/>
    </row>
    <row r="32" spans="2:20" ht="13.5" thickBot="1" x14ac:dyDescent="0.25">
      <c r="B32" s="77" t="s">
        <v>17</v>
      </c>
      <c r="C32" s="78"/>
      <c r="D32" s="79" t="s">
        <v>14</v>
      </c>
      <c r="E32" s="80">
        <f t="shared" ref="E32:Q32" si="18">SUM(E29:E30)</f>
        <v>65494.615000000005</v>
      </c>
      <c r="F32" s="80">
        <f t="shared" si="18"/>
        <v>65494.615000000005</v>
      </c>
      <c r="G32" s="80">
        <f t="shared" si="18"/>
        <v>65494.615000000005</v>
      </c>
      <c r="H32" s="80">
        <f t="shared" si="18"/>
        <v>65494.615000000005</v>
      </c>
      <c r="I32" s="80">
        <f t="shared" si="18"/>
        <v>100517.65400000001</v>
      </c>
      <c r="J32" s="80">
        <f t="shared" si="18"/>
        <v>70046.078000000009</v>
      </c>
      <c r="K32" s="81">
        <f t="shared" si="18"/>
        <v>35023.039000000004</v>
      </c>
      <c r="L32" s="81">
        <f t="shared" si="18"/>
        <v>35023.039000000004</v>
      </c>
      <c r="M32" s="81">
        <f t="shared" ref="M32" si="19">SUM(M29:M30)</f>
        <v>0</v>
      </c>
      <c r="N32" s="81">
        <f t="shared" si="18"/>
        <v>0</v>
      </c>
      <c r="O32" s="81">
        <f t="shared" si="18"/>
        <v>0</v>
      </c>
      <c r="P32" s="81">
        <f t="shared" si="18"/>
        <v>0</v>
      </c>
      <c r="Q32" s="81">
        <f t="shared" si="18"/>
        <v>0</v>
      </c>
      <c r="R32" s="81">
        <f>SUM(E32:Q32)</f>
        <v>502588.27</v>
      </c>
      <c r="S32" s="5">
        <f>SUM(S29:S30)</f>
        <v>1</v>
      </c>
    </row>
    <row r="33" spans="2:19" ht="14.25" thickTop="1" thickBot="1" x14ac:dyDescent="0.25">
      <c r="B33" s="82" t="s">
        <v>18</v>
      </c>
      <c r="C33" s="83"/>
      <c r="D33" s="84" t="s">
        <v>14</v>
      </c>
      <c r="E33" s="6">
        <f t="shared" ref="E33:R33" si="20">IF($R$32=0,0,E32/$R$32)</f>
        <v>0.13031465099653042</v>
      </c>
      <c r="F33" s="6">
        <f t="shared" si="20"/>
        <v>0.13031465099653042</v>
      </c>
      <c r="G33" s="6">
        <f t="shared" si="20"/>
        <v>0.13031465099653042</v>
      </c>
      <c r="H33" s="6">
        <f t="shared" si="20"/>
        <v>0.13031465099653042</v>
      </c>
      <c r="I33" s="6">
        <f t="shared" si="20"/>
        <v>0.2</v>
      </c>
      <c r="J33" s="6">
        <f t="shared" si="20"/>
        <v>0.13937069800693916</v>
      </c>
      <c r="K33" s="6">
        <f t="shared" si="20"/>
        <v>6.9685349003469579E-2</v>
      </c>
      <c r="L33" s="6">
        <f t="shared" si="20"/>
        <v>6.9685349003469579E-2</v>
      </c>
      <c r="M33" s="6">
        <f t="shared" si="20"/>
        <v>0</v>
      </c>
      <c r="N33" s="6">
        <f t="shared" si="20"/>
        <v>0</v>
      </c>
      <c r="O33" s="6">
        <f t="shared" si="20"/>
        <v>0</v>
      </c>
      <c r="P33" s="6">
        <f t="shared" si="20"/>
        <v>0</v>
      </c>
      <c r="Q33" s="6">
        <f t="shared" si="20"/>
        <v>0</v>
      </c>
      <c r="R33" s="6">
        <f t="shared" si="20"/>
        <v>1</v>
      </c>
      <c r="S33" s="7">
        <f>SUM(S29:S30)</f>
        <v>1</v>
      </c>
    </row>
    <row r="34" spans="2:19" ht="13.5" thickTop="1" x14ac:dyDescent="0.2">
      <c r="B34" s="85" t="s">
        <v>60</v>
      </c>
      <c r="D34" s="242" t="s">
        <v>19</v>
      </c>
      <c r="E34" s="87"/>
      <c r="F34" s="87"/>
      <c r="G34" s="87"/>
      <c r="H34" s="87"/>
      <c r="I34" s="88"/>
      <c r="J34" s="89"/>
      <c r="K34" s="89"/>
      <c r="L34" s="89"/>
      <c r="M34" s="90"/>
      <c r="N34" s="243" t="s">
        <v>58</v>
      </c>
      <c r="O34" s="90"/>
      <c r="P34" s="90"/>
      <c r="Q34" s="90"/>
      <c r="R34" s="90"/>
      <c r="S34" s="91"/>
    </row>
    <row r="35" spans="2:19" x14ac:dyDescent="0.2">
      <c r="B35" s="85"/>
      <c r="D35" s="86"/>
      <c r="E35" s="87"/>
      <c r="F35" s="87"/>
      <c r="G35" s="87"/>
      <c r="H35" s="87"/>
      <c r="I35" s="92"/>
      <c r="J35" s="89"/>
      <c r="K35" s="89"/>
      <c r="L35" s="89"/>
      <c r="M35" s="89"/>
      <c r="N35" s="93"/>
      <c r="O35" s="89"/>
      <c r="P35" s="89"/>
      <c r="Q35" s="89"/>
      <c r="R35" s="89"/>
      <c r="S35" s="94"/>
    </row>
    <row r="36" spans="2:19" x14ac:dyDescent="0.2">
      <c r="B36" s="85"/>
      <c r="D36" s="86"/>
      <c r="E36" s="87"/>
      <c r="F36" s="87"/>
      <c r="G36" s="87"/>
      <c r="H36" s="87"/>
      <c r="I36" s="92"/>
      <c r="J36" s="89"/>
      <c r="K36" s="89"/>
      <c r="L36" s="89"/>
      <c r="M36" s="89"/>
      <c r="N36" s="93"/>
      <c r="O36" s="89"/>
      <c r="P36" s="89"/>
      <c r="Q36" s="89"/>
      <c r="R36" s="89"/>
      <c r="S36" s="94"/>
    </row>
    <row r="37" spans="2:19" ht="96" customHeight="1" thickBot="1" x14ac:dyDescent="0.25">
      <c r="B37" s="95"/>
      <c r="C37" s="96"/>
      <c r="D37" s="97"/>
      <c r="E37" s="98"/>
      <c r="F37" s="98"/>
      <c r="G37" s="98"/>
      <c r="H37" s="99"/>
      <c r="I37" s="100"/>
      <c r="J37" s="99"/>
      <c r="K37" s="101"/>
      <c r="L37" s="101"/>
      <c r="M37" s="104"/>
      <c r="N37" s="102"/>
      <c r="O37" s="103"/>
      <c r="P37" s="104"/>
      <c r="Q37" s="104"/>
      <c r="R37" s="104"/>
      <c r="S37" s="105"/>
    </row>
  </sheetData>
  <phoneticPr fontId="1" type="noConversion"/>
  <printOptions horizontalCentered="1"/>
  <pageMargins left="0.78740157480314965" right="0.78740157480314965" top="0.78740157480314965" bottom="0.78740157480314965" header="0" footer="0"/>
  <pageSetup paperSize="9" scale="72" orientation="landscape" r:id="rId1"/>
  <headerFooter alignWithMargins="0"/>
  <rowBreaks count="1" manualBreakCount="1">
    <brk id="16" max="65535" man="1"/>
  </rowBreaks>
  <ignoredErrors>
    <ignoredError sqref="R14:R15 T10:T12" unlockedFormula="1"/>
    <ignoredError sqref="T14:T15" formulaRange="1" unlockedFormula="1"/>
    <ignoredError sqref="C22:C24 C2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J44"/>
  <sheetViews>
    <sheetView showGridLines="0" tabSelected="1" zoomScaleNormal="100" zoomScaleSheetLayoutView="90" workbookViewId="0">
      <selection activeCell="K3" sqref="K3"/>
    </sheetView>
  </sheetViews>
  <sheetFormatPr defaultColWidth="5.6640625" defaultRowHeight="12.75" x14ac:dyDescent="0.2"/>
  <cols>
    <col min="1" max="1" width="5.6640625" style="144"/>
    <col min="2" max="3" width="17.1640625" style="110" customWidth="1"/>
    <col min="4" max="4" width="57.1640625" style="110" customWidth="1"/>
    <col min="5" max="5" width="7.6640625" style="110" customWidth="1"/>
    <col min="6" max="7" width="12.83203125" style="110" customWidth="1"/>
    <col min="8" max="8" width="22.83203125" style="110" customWidth="1"/>
    <col min="9" max="9" width="19" style="110" customWidth="1"/>
    <col min="10" max="10" width="2.83203125" style="110" customWidth="1"/>
    <col min="11" max="11" width="16.1640625" style="110" bestFit="1" customWidth="1"/>
    <col min="12" max="12" width="15.33203125" style="110" bestFit="1" customWidth="1"/>
    <col min="13" max="13" width="16.1640625" style="115" bestFit="1" customWidth="1"/>
    <col min="14" max="14" width="13.33203125" style="115" customWidth="1"/>
    <col min="15" max="15" width="16.1640625" style="115" hidden="1" customWidth="1"/>
    <col min="16" max="16" width="13.33203125" style="115" hidden="1" customWidth="1"/>
    <col min="17" max="17" width="16.1640625" style="115" hidden="1" customWidth="1"/>
    <col min="18" max="18" width="13.33203125" style="115" hidden="1" customWidth="1"/>
    <col min="19" max="19" width="16.1640625" style="115" hidden="1" customWidth="1"/>
    <col min="20" max="20" width="13.33203125" style="115" hidden="1" customWidth="1"/>
    <col min="21" max="21" width="16.1640625" style="115" hidden="1" customWidth="1"/>
    <col min="22" max="22" width="13.33203125" style="115" hidden="1" customWidth="1"/>
    <col min="23" max="23" width="16.1640625" style="115" hidden="1" customWidth="1"/>
    <col min="24" max="24" width="13.33203125" style="115" hidden="1" customWidth="1"/>
    <col min="25" max="25" width="16.1640625" style="115" customWidth="1"/>
    <col min="26" max="26" width="14.5" style="110" bestFit="1" customWidth="1"/>
    <col min="27" max="27" width="10" style="110" hidden="1" customWidth="1"/>
    <col min="28" max="28" width="23.5" style="110" customWidth="1"/>
    <col min="29" max="33" width="5.6640625" style="110"/>
    <col min="34" max="34" width="26.33203125" style="110" customWidth="1"/>
    <col min="35" max="35" width="19.6640625" style="110" customWidth="1"/>
    <col min="36" max="36" width="16.83203125" style="110" customWidth="1"/>
    <col min="37" max="37" width="5.6640625" style="110"/>
    <col min="38" max="38" width="19" style="110" customWidth="1"/>
    <col min="39" max="16384" width="5.6640625" style="110"/>
  </cols>
  <sheetData>
    <row r="2" spans="1:27" ht="18" customHeight="1" thickBot="1" x14ac:dyDescent="0.25">
      <c r="B2" s="111"/>
      <c r="C2" s="111"/>
      <c r="D2" s="208" t="s">
        <v>52</v>
      </c>
      <c r="E2" s="112"/>
      <c r="F2" s="113"/>
      <c r="G2" s="113"/>
      <c r="H2" s="114"/>
      <c r="I2" s="114"/>
      <c r="J2" s="114"/>
      <c r="L2" s="114"/>
    </row>
    <row r="3" spans="1:27" s="116" customFormat="1" ht="19.5" customHeight="1" thickBot="1" x14ac:dyDescent="0.25">
      <c r="A3" s="145"/>
      <c r="B3" s="117" t="s">
        <v>25</v>
      </c>
      <c r="C3" s="195"/>
      <c r="D3" s="204" t="s">
        <v>53</v>
      </c>
      <c r="E3" s="118"/>
      <c r="F3" s="118"/>
      <c r="G3" s="118"/>
      <c r="H3" s="233"/>
      <c r="I3" s="234"/>
      <c r="J3" s="114"/>
      <c r="K3" s="110"/>
      <c r="L3" s="114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</row>
    <row r="4" spans="1:27" s="116" customFormat="1" ht="35.25" customHeight="1" thickBot="1" x14ac:dyDescent="0.25">
      <c r="A4" s="145"/>
      <c r="B4" s="119" t="s">
        <v>2</v>
      </c>
      <c r="C4" s="196"/>
      <c r="D4" s="261" t="s">
        <v>84</v>
      </c>
      <c r="E4" s="262"/>
      <c r="F4" s="262"/>
      <c r="G4" s="262"/>
      <c r="H4" s="231"/>
      <c r="I4" s="232"/>
      <c r="J4" s="114"/>
      <c r="K4" s="263" t="s">
        <v>39</v>
      </c>
      <c r="L4" s="264"/>
      <c r="M4" s="265" t="s">
        <v>50</v>
      </c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7"/>
    </row>
    <row r="5" spans="1:27" s="116" customFormat="1" ht="20.100000000000001" customHeight="1" thickBot="1" x14ac:dyDescent="0.25">
      <c r="A5" s="145"/>
      <c r="B5" s="120" t="s">
        <v>0</v>
      </c>
      <c r="C5" s="197"/>
      <c r="D5" s="207" t="s">
        <v>77</v>
      </c>
      <c r="E5" s="148"/>
      <c r="F5" s="148"/>
      <c r="G5" s="148"/>
      <c r="H5" s="151" t="s">
        <v>33</v>
      </c>
      <c r="I5" s="152">
        <v>0.25</v>
      </c>
      <c r="J5" s="114"/>
      <c r="K5" s="268" t="e">
        <f>1-(#REF!/I25)</f>
        <v>#REF!</v>
      </c>
      <c r="L5" s="269"/>
      <c r="M5" s="172" t="s">
        <v>47</v>
      </c>
      <c r="N5" s="173" t="s">
        <v>48</v>
      </c>
      <c r="O5" s="172" t="s">
        <v>47</v>
      </c>
      <c r="P5" s="173" t="s">
        <v>48</v>
      </c>
      <c r="Q5" s="172" t="s">
        <v>47</v>
      </c>
      <c r="R5" s="173" t="s">
        <v>48</v>
      </c>
      <c r="S5" s="172" t="s">
        <v>47</v>
      </c>
      <c r="T5" s="173" t="s">
        <v>48</v>
      </c>
      <c r="U5" s="172" t="s">
        <v>47</v>
      </c>
      <c r="V5" s="173" t="s">
        <v>48</v>
      </c>
      <c r="W5" s="172" t="s">
        <v>47</v>
      </c>
      <c r="X5" s="173" t="s">
        <v>48</v>
      </c>
      <c r="Y5" s="270" t="s">
        <v>24</v>
      </c>
      <c r="Z5" s="271"/>
    </row>
    <row r="6" spans="1:27" ht="19.5" customHeight="1" x14ac:dyDescent="0.2">
      <c r="B6" s="255" t="s">
        <v>51</v>
      </c>
      <c r="C6" s="272" t="s">
        <v>59</v>
      </c>
      <c r="D6" s="272" t="s">
        <v>27</v>
      </c>
      <c r="E6" s="274" t="s">
        <v>21</v>
      </c>
      <c r="F6" s="121" t="s">
        <v>22</v>
      </c>
      <c r="G6" s="122"/>
      <c r="H6" s="158" t="s">
        <v>28</v>
      </c>
      <c r="I6" s="123"/>
      <c r="J6" s="114"/>
      <c r="K6" s="257" t="s">
        <v>43</v>
      </c>
      <c r="L6" s="258"/>
      <c r="M6" s="174">
        <v>1</v>
      </c>
      <c r="N6" s="254">
        <v>45741</v>
      </c>
      <c r="O6" s="174">
        <v>2</v>
      </c>
      <c r="P6" s="190"/>
      <c r="Q6" s="174">
        <v>3</v>
      </c>
      <c r="R6" s="190"/>
      <c r="S6" s="174">
        <v>4</v>
      </c>
      <c r="T6" s="190"/>
      <c r="U6" s="174">
        <v>5</v>
      </c>
      <c r="V6" s="190"/>
      <c r="W6" s="174">
        <v>6</v>
      </c>
      <c r="X6" s="190"/>
      <c r="Y6" s="259" t="s">
        <v>49</v>
      </c>
      <c r="Z6" s="260"/>
    </row>
    <row r="7" spans="1:27" ht="29.25" customHeight="1" thickBot="1" x14ac:dyDescent="0.25">
      <c r="B7" s="256"/>
      <c r="C7" s="273"/>
      <c r="D7" s="273"/>
      <c r="E7" s="275"/>
      <c r="F7" s="124" t="s">
        <v>29</v>
      </c>
      <c r="G7" s="155" t="s">
        <v>41</v>
      </c>
      <c r="H7" s="156" t="s">
        <v>42</v>
      </c>
      <c r="I7" s="154" t="s">
        <v>44</v>
      </c>
      <c r="J7" s="114"/>
      <c r="K7" s="162" t="s">
        <v>41</v>
      </c>
      <c r="L7" s="163" t="s">
        <v>44</v>
      </c>
      <c r="M7" s="175" t="s">
        <v>35</v>
      </c>
      <c r="N7" s="176" t="s">
        <v>36</v>
      </c>
      <c r="O7" s="175" t="s">
        <v>35</v>
      </c>
      <c r="P7" s="176" t="s">
        <v>36</v>
      </c>
      <c r="Q7" s="175" t="s">
        <v>35</v>
      </c>
      <c r="R7" s="176" t="s">
        <v>36</v>
      </c>
      <c r="S7" s="175" t="s">
        <v>35</v>
      </c>
      <c r="T7" s="176" t="s">
        <v>36</v>
      </c>
      <c r="U7" s="175" t="s">
        <v>35</v>
      </c>
      <c r="V7" s="176" t="s">
        <v>36</v>
      </c>
      <c r="W7" s="175" t="s">
        <v>35</v>
      </c>
      <c r="X7" s="176" t="s">
        <v>36</v>
      </c>
      <c r="Y7" s="175" t="s">
        <v>35</v>
      </c>
      <c r="Z7" s="179" t="s">
        <v>23</v>
      </c>
    </row>
    <row r="8" spans="1:27" ht="16.5" customHeight="1" thickBot="1" x14ac:dyDescent="0.25">
      <c r="A8" s="146"/>
      <c r="B8" s="125">
        <v>1</v>
      </c>
      <c r="C8" s="198"/>
      <c r="D8" s="178" t="s">
        <v>71</v>
      </c>
      <c r="E8" s="159"/>
      <c r="F8" s="160"/>
      <c r="G8" s="160"/>
      <c r="H8" s="161"/>
      <c r="I8" s="136"/>
      <c r="J8" s="114"/>
      <c r="K8" s="177"/>
      <c r="L8" s="136"/>
      <c r="M8" s="170"/>
      <c r="N8" s="168"/>
      <c r="O8" s="169"/>
      <c r="P8" s="168"/>
      <c r="Q8" s="169"/>
      <c r="R8" s="168"/>
      <c r="S8" s="169"/>
      <c r="T8" s="168"/>
      <c r="U8" s="169"/>
      <c r="V8" s="168"/>
      <c r="W8" s="169"/>
      <c r="X8" s="168"/>
      <c r="Y8" s="169"/>
      <c r="Z8" s="171"/>
      <c r="AA8" s="126" t="e">
        <f>#REF!+#REF!+#REF!+#REF!+#REF!+#REF!+#REF!+#REF!+#REF!</f>
        <v>#REF!</v>
      </c>
    </row>
    <row r="9" spans="1:27" s="115" customFormat="1" ht="38.25" x14ac:dyDescent="0.2">
      <c r="A9" s="147" t="s">
        <v>45</v>
      </c>
      <c r="B9" s="206" t="s">
        <v>30</v>
      </c>
      <c r="C9" s="203" t="s">
        <v>81</v>
      </c>
      <c r="D9" s="230" t="s">
        <v>82</v>
      </c>
      <c r="E9" s="128" t="s">
        <v>54</v>
      </c>
      <c r="F9" s="192">
        <v>1.08</v>
      </c>
      <c r="G9" s="192">
        <v>316.94</v>
      </c>
      <c r="H9" s="193">
        <f>IF($F9=0,0,ROUND($F9*$G9,2))</f>
        <v>342.3</v>
      </c>
      <c r="I9" s="194">
        <f>ROUND(H9*(1+$I$5),2)</f>
        <v>427.88</v>
      </c>
      <c r="J9" s="114"/>
      <c r="K9" s="239">
        <v>287.25</v>
      </c>
      <c r="L9" s="238">
        <f>ROUND(F9*K9*(1+$I$5),2)</f>
        <v>387.79</v>
      </c>
      <c r="M9" s="235">
        <v>1</v>
      </c>
      <c r="N9" s="236">
        <f>IF(M9="","",L9*M9)</f>
        <v>387.79</v>
      </c>
      <c r="O9" s="235"/>
      <c r="P9" s="236" t="str">
        <f>IF(O9="","",L9*O9)</f>
        <v/>
      </c>
      <c r="Q9" s="235"/>
      <c r="R9" s="236" t="str">
        <f>IF(Q9="","",L9*Q9)</f>
        <v/>
      </c>
      <c r="S9" s="235"/>
      <c r="T9" s="236" t="str">
        <f>IF(S9="","",L9*S9)</f>
        <v/>
      </c>
      <c r="U9" s="235"/>
      <c r="V9" s="236" t="str">
        <f>IF(U9="","",L9*U9)</f>
        <v/>
      </c>
      <c r="W9" s="235"/>
      <c r="X9" s="236" t="str">
        <f>IF(W9="","",L9*W9)</f>
        <v/>
      </c>
      <c r="Y9" s="237">
        <f>IF(AND(M9="",O9="",Q9="",S9="",U9="",W9=""),"",IF(M9+O9+Q9+S9+U9+W9&gt;1,"ERRO",M9+O9+Q9+S9+U9+W9))</f>
        <v>1</v>
      </c>
      <c r="Z9" s="236">
        <f>IF(Y9="","",IF(Y9="ERRO","ERRO",Y9*L9))</f>
        <v>387.79</v>
      </c>
    </row>
    <row r="10" spans="1:27" s="115" customFormat="1" ht="51" x14ac:dyDescent="0.2">
      <c r="A10" s="147" t="s">
        <v>45</v>
      </c>
      <c r="B10" s="206" t="s">
        <v>79</v>
      </c>
      <c r="C10" s="252">
        <v>98525</v>
      </c>
      <c r="D10" s="248" t="s">
        <v>83</v>
      </c>
      <c r="E10" s="202" t="s">
        <v>54</v>
      </c>
      <c r="F10" s="192">
        <v>8000</v>
      </c>
      <c r="G10" s="192">
        <v>0.47</v>
      </c>
      <c r="H10" s="193">
        <f>IF($F10=0,0,ROUND($F10*$G10,2))</f>
        <v>3760</v>
      </c>
      <c r="I10" s="194">
        <f>ROUND(H10*(1+$I$5),2)</f>
        <v>4700</v>
      </c>
      <c r="J10" s="114"/>
      <c r="K10" s="239">
        <f>G10*0.84</f>
        <v>0.39479999999999998</v>
      </c>
      <c r="L10" s="238">
        <f>ROUND(F10*K10*(1+$I$5),2)</f>
        <v>3948</v>
      </c>
      <c r="M10" s="235">
        <v>1</v>
      </c>
      <c r="N10" s="236">
        <f>IF(M10="","",L10*M10)</f>
        <v>3948</v>
      </c>
      <c r="O10" s="235"/>
      <c r="P10" s="236" t="str">
        <f>IF(O10="","",L10*O10)</f>
        <v/>
      </c>
      <c r="Q10" s="235"/>
      <c r="R10" s="236" t="str">
        <f>IF(Q10="","",L10*Q10)</f>
        <v/>
      </c>
      <c r="S10" s="235"/>
      <c r="T10" s="236" t="str">
        <f>IF(S10="","",L10*S10)</f>
        <v/>
      </c>
      <c r="U10" s="235"/>
      <c r="V10" s="236" t="str">
        <f>IF(U10="","",L10*U10)</f>
        <v/>
      </c>
      <c r="W10" s="235"/>
      <c r="X10" s="236" t="str">
        <f>IF(W10="","",L10*W10)</f>
        <v/>
      </c>
      <c r="Y10" s="237">
        <f>IF(AND(M10="",O10="",Q10="",S10="",U10="",W10=""),"",IF(M10+O10+Q10+S10+U10+W10&gt;1,"ERRO",M10+O10+Q10+S10+U10+W10))</f>
        <v>1</v>
      </c>
      <c r="Z10" s="236">
        <f>IF(Y10="","",IF(Y10="ERRO","ERRO",Y10*L10))</f>
        <v>3948</v>
      </c>
    </row>
    <row r="11" spans="1:27" s="115" customFormat="1" ht="51" x14ac:dyDescent="0.2">
      <c r="A11" s="147" t="s">
        <v>45</v>
      </c>
      <c r="B11" s="206" t="s">
        <v>76</v>
      </c>
      <c r="C11" s="252">
        <v>101127</v>
      </c>
      <c r="D11" s="248" t="s">
        <v>74</v>
      </c>
      <c r="E11" s="202" t="s">
        <v>75</v>
      </c>
      <c r="F11" s="192">
        <f>F10*0.7</f>
        <v>5600</v>
      </c>
      <c r="G11" s="192">
        <v>14.89</v>
      </c>
      <c r="H11" s="193">
        <f>IF($F11=0,0,ROUND($F11*$G11,2))</f>
        <v>83384</v>
      </c>
      <c r="I11" s="194">
        <f>ROUND(H11*(1+$I$5),2)</f>
        <v>104230</v>
      </c>
      <c r="J11" s="114"/>
      <c r="K11" s="239">
        <f t="shared" ref="K11:K12" si="0">G11*0.84</f>
        <v>12.5076</v>
      </c>
      <c r="L11" s="238">
        <f>ROUND(F11*K11*(1+$I$5),2)</f>
        <v>87553.2</v>
      </c>
      <c r="M11" s="235">
        <v>1</v>
      </c>
      <c r="N11" s="236">
        <f>IF(M11="","",L11*M11)</f>
        <v>87553.2</v>
      </c>
      <c r="O11" s="235"/>
      <c r="P11" s="236" t="str">
        <f>IF(O11="","",L11*O11)</f>
        <v/>
      </c>
      <c r="Q11" s="235"/>
      <c r="R11" s="236" t="str">
        <f>IF(Q11="","",L11*Q11)</f>
        <v/>
      </c>
      <c r="S11" s="235"/>
      <c r="T11" s="236" t="str">
        <f>IF(S11="","",L11*S11)</f>
        <v/>
      </c>
      <c r="U11" s="235"/>
      <c r="V11" s="236" t="str">
        <f>IF(U11="","",L11*U11)</f>
        <v/>
      </c>
      <c r="W11" s="235"/>
      <c r="X11" s="236" t="str">
        <f>IF(W11="","",L11*W11)</f>
        <v/>
      </c>
      <c r="Y11" s="237">
        <f>IF(AND(M11="",O11="",Q11="",S11="",U11="",W11=""),"",IF(M11+O11+Q11+S11+U11+W11&gt;1,"ERRO",M11+O11+Q11+S11+U11+W11))</f>
        <v>1</v>
      </c>
      <c r="Z11" s="236">
        <f>IF(Y11="","",IF(Y11="ERRO","ERRO",Y11*L11))</f>
        <v>87553.2</v>
      </c>
    </row>
    <row r="12" spans="1:27" s="115" customFormat="1" ht="26.25" thickBot="1" x14ac:dyDescent="0.25">
      <c r="A12" s="147" t="s">
        <v>45</v>
      </c>
      <c r="B12" s="206" t="s">
        <v>80</v>
      </c>
      <c r="C12" s="249">
        <v>511100</v>
      </c>
      <c r="D12" s="248" t="s">
        <v>70</v>
      </c>
      <c r="E12" s="247" t="s">
        <v>54</v>
      </c>
      <c r="F12" s="192">
        <v>8000</v>
      </c>
      <c r="G12" s="192">
        <v>4.3</v>
      </c>
      <c r="H12" s="193">
        <f>IF($F12=0,0,ROUND($F12*$G12,2))</f>
        <v>34400</v>
      </c>
      <c r="I12" s="194">
        <f>ROUND(H12*(1+$I$5),2)</f>
        <v>43000</v>
      </c>
      <c r="J12" s="114"/>
      <c r="K12" s="239">
        <f t="shared" si="0"/>
        <v>3.6119999999999997</v>
      </c>
      <c r="L12" s="238">
        <f>ROUND(F12*K12*(1+$I$5),2)</f>
        <v>36120</v>
      </c>
      <c r="M12" s="235">
        <v>1</v>
      </c>
      <c r="N12" s="236">
        <f>IF(M12="","",L12*M12)</f>
        <v>36120</v>
      </c>
      <c r="O12" s="235"/>
      <c r="P12" s="236" t="str">
        <f>IF(O12="","",L12*O12)</f>
        <v/>
      </c>
      <c r="Q12" s="235"/>
      <c r="R12" s="236" t="str">
        <f>IF(Q12="","",L12*Q12)</f>
        <v/>
      </c>
      <c r="S12" s="235"/>
      <c r="T12" s="236" t="str">
        <f>IF(S12="","",L12*S12)</f>
        <v/>
      </c>
      <c r="U12" s="235"/>
      <c r="V12" s="236" t="str">
        <f>IF(U12="","",L12*U12)</f>
        <v/>
      </c>
      <c r="W12" s="235"/>
      <c r="X12" s="236" t="str">
        <f>IF(W12="","",L12*W12)</f>
        <v/>
      </c>
      <c r="Y12" s="237">
        <f>IF(AND(M12="",O12="",Q12="",S12="",U12="",W12=""),"",IF(M12+O12+Q12+S12+U12+W12&gt;1,"ERRO",M12+O12+Q12+S12+U12+W12))</f>
        <v>1</v>
      </c>
      <c r="Z12" s="236">
        <f>IF(Y12="","",IF(Y12="ERRO","ERRO",Y12*L12))</f>
        <v>36120</v>
      </c>
    </row>
    <row r="13" spans="1:27" s="115" customFormat="1" ht="12.75" customHeight="1" thickBot="1" x14ac:dyDescent="0.25">
      <c r="A13" s="147"/>
      <c r="B13" s="224"/>
      <c r="C13" s="225"/>
      <c r="D13" s="226"/>
      <c r="E13" s="227"/>
      <c r="F13" s="228"/>
      <c r="G13" s="149" t="s">
        <v>40</v>
      </c>
      <c r="H13" s="149">
        <f>SUM(H9:H12)</f>
        <v>121886.3</v>
      </c>
      <c r="I13" s="150">
        <f>SUM(I9:I12)</f>
        <v>152357.88</v>
      </c>
      <c r="J13" s="114"/>
      <c r="K13" s="166" t="s">
        <v>40</v>
      </c>
      <c r="L13" s="165">
        <f>SUM(L9:L12)</f>
        <v>128008.98999999999</v>
      </c>
      <c r="M13" s="166" t="s">
        <v>40</v>
      </c>
      <c r="N13" s="165">
        <f>SUM(N9:N12)</f>
        <v>128008.98999999999</v>
      </c>
      <c r="O13" s="166" t="s">
        <v>40</v>
      </c>
      <c r="P13" s="165">
        <f>SUM(P9:P12)</f>
        <v>0</v>
      </c>
      <c r="Q13" s="166" t="s">
        <v>40</v>
      </c>
      <c r="R13" s="165">
        <f>SUM(R9:R12)</f>
        <v>0</v>
      </c>
      <c r="S13" s="166" t="s">
        <v>40</v>
      </c>
      <c r="T13" s="165">
        <f>SUM(T9:T12)</f>
        <v>0</v>
      </c>
      <c r="U13" s="166" t="s">
        <v>40</v>
      </c>
      <c r="V13" s="165">
        <f>SUM(V9:V12)</f>
        <v>0</v>
      </c>
      <c r="W13" s="166" t="s">
        <v>40</v>
      </c>
      <c r="X13" s="165">
        <f>SUM(X9:X12)</f>
        <v>0</v>
      </c>
      <c r="Y13" s="166" t="s">
        <v>40</v>
      </c>
      <c r="Z13" s="165">
        <f>SUM(Z9:Z12)</f>
        <v>128008.98999999999</v>
      </c>
    </row>
    <row r="14" spans="1:27" s="115" customFormat="1" ht="12.75" customHeight="1" thickBot="1" x14ac:dyDescent="0.25">
      <c r="A14" s="147"/>
      <c r="B14" s="129">
        <v>2</v>
      </c>
      <c r="C14" s="199"/>
      <c r="D14" s="178" t="s">
        <v>64</v>
      </c>
      <c r="E14" s="159"/>
      <c r="F14" s="131"/>
      <c r="G14" s="131"/>
      <c r="H14" s="132"/>
      <c r="I14" s="136"/>
      <c r="J14" s="114"/>
      <c r="K14" s="164"/>
      <c r="L14" s="136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36"/>
      <c r="Y14" s="170"/>
      <c r="Z14" s="171"/>
    </row>
    <row r="15" spans="1:27" s="115" customFormat="1" ht="25.5" x14ac:dyDescent="0.2">
      <c r="A15" s="147" t="s">
        <v>46</v>
      </c>
      <c r="B15" s="205" t="s">
        <v>31</v>
      </c>
      <c r="C15" s="201">
        <v>521450</v>
      </c>
      <c r="D15" s="210" t="s">
        <v>78</v>
      </c>
      <c r="E15" s="128" t="s">
        <v>54</v>
      </c>
      <c r="F15" s="192">
        <v>6000</v>
      </c>
      <c r="G15" s="192">
        <v>25.66</v>
      </c>
      <c r="H15" s="193">
        <f t="shared" ref="H15:H21" si="1">IF($F15=0,0,ROUND($F15*$G15,2))</f>
        <v>153960</v>
      </c>
      <c r="I15" s="194">
        <f t="shared" ref="I15:I22" si="2">ROUND(H15*(1+$I$5),2)</f>
        <v>192450</v>
      </c>
      <c r="J15" s="114"/>
      <c r="K15" s="239">
        <v>21.56</v>
      </c>
      <c r="L15" s="238">
        <f>F15*K15*(1+$I$5)</f>
        <v>161699.99999999997</v>
      </c>
      <c r="M15" s="185">
        <v>0</v>
      </c>
      <c r="N15" s="188">
        <f>IF(M15="","",L15*M15)</f>
        <v>0</v>
      </c>
      <c r="O15" s="185"/>
      <c r="P15" s="188" t="str">
        <f>IF(O15="","",L15*O15)</f>
        <v/>
      </c>
      <c r="Q15" s="185"/>
      <c r="R15" s="188" t="str">
        <f>IF(Q15="","",L15*Q15)</f>
        <v/>
      </c>
      <c r="S15" s="185"/>
      <c r="T15" s="188" t="str">
        <f>IF(S15="","",L15*S15)</f>
        <v/>
      </c>
      <c r="U15" s="185"/>
      <c r="V15" s="188" t="str">
        <f>IF(U15="","",L15*U15)</f>
        <v/>
      </c>
      <c r="W15" s="185"/>
      <c r="X15" s="188" t="str">
        <f>IF(W15="","",L15*W15)</f>
        <v/>
      </c>
      <c r="Y15" s="186">
        <f>IF(AND(M15="",O15="",Q15="",S15="",U15="",W15=""),"",IF(M15+O15+Q15+S15+U15+W15&gt;1,"ERRO",M15+O15+Q15+S15+U15+W15))</f>
        <v>0</v>
      </c>
      <c r="Z15" s="188">
        <f>IF(Y15="","",IF(Y15="ERRO","ERRO",Y15*L15))</f>
        <v>0</v>
      </c>
    </row>
    <row r="16" spans="1:27" s="115" customFormat="1" ht="12.75" customHeight="1" x14ac:dyDescent="0.2">
      <c r="A16" s="147" t="s">
        <v>46</v>
      </c>
      <c r="B16" s="205" t="s">
        <v>66</v>
      </c>
      <c r="C16" s="203">
        <v>972000</v>
      </c>
      <c r="D16" s="223" t="s">
        <v>55</v>
      </c>
      <c r="E16" s="202" t="s">
        <v>56</v>
      </c>
      <c r="F16" s="192">
        <f>F15*1.5*0.3</f>
        <v>2700</v>
      </c>
      <c r="G16" s="211">
        <f>21.5*1.02</f>
        <v>21.93</v>
      </c>
      <c r="H16" s="193">
        <f t="shared" si="1"/>
        <v>59211</v>
      </c>
      <c r="I16" s="194">
        <f t="shared" ref="I16" si="3">ROUND(H16*(1+$I$5),2)</f>
        <v>74013.75</v>
      </c>
      <c r="J16" s="114"/>
      <c r="K16" s="239">
        <v>18.43</v>
      </c>
      <c r="L16" s="238">
        <f t="shared" ref="L16" si="4">F16*K16*(1+$I$5)</f>
        <v>62201.25</v>
      </c>
      <c r="M16" s="184">
        <v>0</v>
      </c>
      <c r="N16" s="189">
        <f t="shared" ref="N16" si="5">IF(M16="","",L16*M16)</f>
        <v>0</v>
      </c>
      <c r="O16" s="184"/>
      <c r="P16" s="189" t="str">
        <f t="shared" ref="P16" si="6">IF(O16="","",L16*O16)</f>
        <v/>
      </c>
      <c r="Q16" s="184"/>
      <c r="R16" s="189" t="str">
        <f t="shared" ref="R16" si="7">IF(Q16="","",L16*Q16)</f>
        <v/>
      </c>
      <c r="S16" s="184"/>
      <c r="T16" s="189" t="str">
        <f t="shared" ref="T16" si="8">IF(S16="","",L16*S16)</f>
        <v/>
      </c>
      <c r="U16" s="184"/>
      <c r="V16" s="189" t="str">
        <f t="shared" ref="V16" si="9">IF(U16="","",L16*U16)</f>
        <v/>
      </c>
      <c r="W16" s="184"/>
      <c r="X16" s="189" t="str">
        <f t="shared" ref="X16" si="10">IF(W16="","",L16*W16)</f>
        <v/>
      </c>
      <c r="Y16" s="187">
        <f t="shared" ref="Y16" si="11">IF(AND(M16="",O16="",Q16="",S16="",U16="",W16=""),"",IF(M16+O16+Q16+S16+U16+W16&gt;1,"ERRO",M16+O16+Q16+S16+U16+W16))</f>
        <v>0</v>
      </c>
      <c r="Z16" s="189">
        <f t="shared" ref="Z16" si="12">IF(Y16="","",IF(Y16="ERRO","ERRO",Y16*L16))</f>
        <v>0</v>
      </c>
    </row>
    <row r="17" spans="1:36" s="115" customFormat="1" ht="25.5" x14ac:dyDescent="0.2">
      <c r="A17" s="147" t="s">
        <v>46</v>
      </c>
      <c r="B17" s="205" t="s">
        <v>65</v>
      </c>
      <c r="C17" s="203">
        <v>532600</v>
      </c>
      <c r="D17" s="210" t="s">
        <v>57</v>
      </c>
      <c r="E17" s="128" t="s">
        <v>54</v>
      </c>
      <c r="F17" s="192">
        <f>F15</f>
        <v>6000</v>
      </c>
      <c r="G17" s="211">
        <v>2.42</v>
      </c>
      <c r="H17" s="193">
        <f t="shared" si="1"/>
        <v>14520</v>
      </c>
      <c r="I17" s="194">
        <f t="shared" si="2"/>
        <v>18150</v>
      </c>
      <c r="J17" s="114"/>
      <c r="K17" s="191">
        <f>G17*0.84</f>
        <v>2.0327999999999999</v>
      </c>
      <c r="L17" s="194">
        <f t="shared" ref="L17" si="13">F17*K17*(1+$I$5)</f>
        <v>15246</v>
      </c>
      <c r="M17" s="184">
        <v>0</v>
      </c>
      <c r="N17" s="189">
        <f t="shared" ref="N17" si="14">IF(M17="","",L17*M17)</f>
        <v>0</v>
      </c>
      <c r="O17" s="184"/>
      <c r="P17" s="189" t="str">
        <f t="shared" ref="P17" si="15">IF(O17="","",L17*O17)</f>
        <v/>
      </c>
      <c r="Q17" s="184"/>
      <c r="R17" s="189" t="str">
        <f t="shared" ref="R17" si="16">IF(Q17="","",L17*Q17)</f>
        <v/>
      </c>
      <c r="S17" s="184"/>
      <c r="T17" s="189" t="str">
        <f t="shared" ref="T17" si="17">IF(S17="","",L17*S17)</f>
        <v/>
      </c>
      <c r="U17" s="184"/>
      <c r="V17" s="189" t="str">
        <f t="shared" ref="V17" si="18">IF(U17="","",L17*U17)</f>
        <v/>
      </c>
      <c r="W17" s="184"/>
      <c r="X17" s="189" t="str">
        <f t="shared" ref="X17" si="19">IF(W17="","",L17*W17)</f>
        <v/>
      </c>
      <c r="Y17" s="187">
        <f t="shared" ref="Y17" si="20">IF(AND(M17="",O17="",Q17="",S17="",U17="",W17=""),"",IF(M17+O17+Q17+S17+U17+W17&gt;1,"ERRO",M17+O17+Q17+S17+U17+W17))</f>
        <v>0</v>
      </c>
      <c r="Z17" s="189">
        <f t="shared" ref="Z17" si="21">IF(Y17="","",IF(Y17="ERRO","ERRO",Y17*L17))</f>
        <v>0</v>
      </c>
    </row>
    <row r="18" spans="1:36" s="115" customFormat="1" ht="12.75" customHeight="1" thickBot="1" x14ac:dyDescent="0.25">
      <c r="A18" s="147" t="s">
        <v>46</v>
      </c>
      <c r="B18" s="205" t="s">
        <v>66</v>
      </c>
      <c r="C18" s="203">
        <v>972000</v>
      </c>
      <c r="D18" s="223" t="s">
        <v>55</v>
      </c>
      <c r="E18" s="202" t="s">
        <v>56</v>
      </c>
      <c r="F18" s="192">
        <f>F15*0.15*1.8</f>
        <v>1620</v>
      </c>
      <c r="G18" s="211">
        <f>21.5*1.02</f>
        <v>21.93</v>
      </c>
      <c r="H18" s="193">
        <f t="shared" si="1"/>
        <v>35526.6</v>
      </c>
      <c r="I18" s="194">
        <f t="shared" si="2"/>
        <v>44408.25</v>
      </c>
      <c r="J18" s="114"/>
      <c r="K18" s="239">
        <v>18.43</v>
      </c>
      <c r="L18" s="238">
        <f t="shared" ref="L18" si="22">F18*K18*(1+$I$5)</f>
        <v>37320.75</v>
      </c>
      <c r="M18" s="184">
        <v>0</v>
      </c>
      <c r="N18" s="189">
        <f t="shared" ref="N18" si="23">IF(M18="","",L18*M18)</f>
        <v>0</v>
      </c>
      <c r="O18" s="184"/>
      <c r="P18" s="189" t="str">
        <f t="shared" ref="P18" si="24">IF(O18="","",L18*O18)</f>
        <v/>
      </c>
      <c r="Q18" s="184"/>
      <c r="R18" s="189" t="str">
        <f t="shared" ref="R18" si="25">IF(Q18="","",L18*Q18)</f>
        <v/>
      </c>
      <c r="S18" s="184"/>
      <c r="T18" s="189" t="str">
        <f t="shared" ref="T18" si="26">IF(S18="","",L18*S18)</f>
        <v/>
      </c>
      <c r="U18" s="184"/>
      <c r="V18" s="189" t="str">
        <f t="shared" ref="V18" si="27">IF(U18="","",L18*U18)</f>
        <v/>
      </c>
      <c r="W18" s="184"/>
      <c r="X18" s="189" t="str">
        <f t="shared" ref="X18" si="28">IF(W18="","",L18*W18)</f>
        <v/>
      </c>
      <c r="Y18" s="187">
        <f t="shared" ref="Y18" si="29">IF(AND(M18="",O18="",Q18="",S18="",U18="",W18=""),"",IF(M18+O18+Q18+S18+U18+W18&gt;1,"ERRO",M18+O18+Q18+S18+U18+W18))</f>
        <v>0</v>
      </c>
      <c r="Z18" s="189">
        <f t="shared" ref="Z18" si="30">IF(Y18="","",IF(Y18="ERRO","ERRO",Y18*L18))</f>
        <v>0</v>
      </c>
    </row>
    <row r="19" spans="1:36" s="115" customFormat="1" ht="25.5" x14ac:dyDescent="0.2">
      <c r="A19" s="147" t="s">
        <v>46</v>
      </c>
      <c r="B19" s="205" t="s">
        <v>67</v>
      </c>
      <c r="C19" s="203">
        <v>532600</v>
      </c>
      <c r="D19" s="210" t="s">
        <v>63</v>
      </c>
      <c r="E19" s="128" t="s">
        <v>54</v>
      </c>
      <c r="F19" s="211">
        <f>F15</f>
        <v>6000</v>
      </c>
      <c r="G19" s="211">
        <f>G17*0.2</f>
        <v>0.48399999999999999</v>
      </c>
      <c r="H19" s="193">
        <f t="shared" si="1"/>
        <v>2904</v>
      </c>
      <c r="I19" s="194">
        <f t="shared" si="2"/>
        <v>3630</v>
      </c>
      <c r="J19" s="114"/>
      <c r="K19" s="191">
        <v>0.48</v>
      </c>
      <c r="L19" s="194">
        <f>F19*K19*(1+$I$5)</f>
        <v>3600</v>
      </c>
      <c r="M19" s="185">
        <v>0</v>
      </c>
      <c r="N19" s="188">
        <f>IF(M19="","",L19*M19)</f>
        <v>0</v>
      </c>
      <c r="O19" s="185"/>
      <c r="P19" s="188" t="str">
        <f>IF(O19="","",L19*O19)</f>
        <v/>
      </c>
      <c r="Q19" s="185"/>
      <c r="R19" s="188" t="str">
        <f>IF(Q19="","",L19*Q19)</f>
        <v/>
      </c>
      <c r="S19" s="185"/>
      <c r="T19" s="188" t="str">
        <f>IF(S19="","",L19*S19)</f>
        <v/>
      </c>
      <c r="U19" s="185"/>
      <c r="V19" s="188" t="str">
        <f>IF(U19="","",L19*U19)</f>
        <v/>
      </c>
      <c r="W19" s="185"/>
      <c r="X19" s="188" t="str">
        <f>IF(W19="","",L19*W19)</f>
        <v/>
      </c>
      <c r="Y19" s="186">
        <f>IF(AND(M19="",O19="",Q19="",S19="",U19="",W19=""),"",IF(M19+O19+Q19+S19+U19+W19&gt;1,"ERRO",M19+O19+Q19+S19+U19+W19))</f>
        <v>0</v>
      </c>
      <c r="Z19" s="188">
        <f>IF(Y19="","",IF(Y19="ERRO","ERRO",Y19*L19))</f>
        <v>0</v>
      </c>
    </row>
    <row r="20" spans="1:36" s="115" customFormat="1" ht="12.75" customHeight="1" thickBot="1" x14ac:dyDescent="0.25">
      <c r="A20" s="147" t="s">
        <v>46</v>
      </c>
      <c r="B20" s="205" t="s">
        <v>68</v>
      </c>
      <c r="C20" s="203">
        <v>972000</v>
      </c>
      <c r="D20" s="223" t="s">
        <v>55</v>
      </c>
      <c r="E20" s="202" t="s">
        <v>56</v>
      </c>
      <c r="F20" s="192">
        <f>F15*0.03*1.8</f>
        <v>324</v>
      </c>
      <c r="G20" s="211">
        <f>21.5*1.02</f>
        <v>21.93</v>
      </c>
      <c r="H20" s="193">
        <f t="shared" si="1"/>
        <v>7105.32</v>
      </c>
      <c r="I20" s="194">
        <f t="shared" si="2"/>
        <v>8881.65</v>
      </c>
      <c r="J20" s="114"/>
      <c r="K20" s="241">
        <v>18.43</v>
      </c>
      <c r="L20" s="240">
        <f t="shared" ref="L20" si="31">F20*K20*(1+$I$5)</f>
        <v>7464.15</v>
      </c>
      <c r="M20" s="246">
        <v>0</v>
      </c>
      <c r="N20" s="244">
        <f t="shared" ref="N20" si="32">IF(M20="","",L20*M20)</f>
        <v>0</v>
      </c>
      <c r="O20" s="246"/>
      <c r="P20" s="244" t="str">
        <f t="shared" ref="P20" si="33">IF(O20="","",L20*O20)</f>
        <v/>
      </c>
      <c r="Q20" s="246"/>
      <c r="R20" s="244" t="str">
        <f t="shared" ref="R20" si="34">IF(Q20="","",L20*Q20)</f>
        <v/>
      </c>
      <c r="S20" s="246"/>
      <c r="T20" s="244" t="str">
        <f t="shared" ref="T20" si="35">IF(S20="","",L20*S20)</f>
        <v/>
      </c>
      <c r="U20" s="246"/>
      <c r="V20" s="244" t="str">
        <f t="shared" ref="V20" si="36">IF(U20="","",L20*U20)</f>
        <v/>
      </c>
      <c r="W20" s="246"/>
      <c r="X20" s="244" t="str">
        <f t="shared" ref="X20" si="37">IF(W20="","",L20*W20)</f>
        <v/>
      </c>
      <c r="Y20" s="245">
        <f t="shared" ref="Y20" si="38">IF(AND(M20="",O20="",Q20="",S20="",U20="",W20=""),"",IF(M20+O20+Q20+S20+U20+W20&gt;1,"ERRO",M20+O20+Q20+S20+U20+W20))</f>
        <v>0</v>
      </c>
      <c r="Z20" s="244">
        <f t="shared" ref="Z20" si="39">IF(Y20="","",IF(Y20="ERRO","ERRO",Y20*L20))</f>
        <v>0</v>
      </c>
    </row>
    <row r="21" spans="1:36" s="115" customFormat="1" ht="12.75" customHeight="1" thickBot="1" x14ac:dyDescent="0.25">
      <c r="A21" s="147" t="s">
        <v>46</v>
      </c>
      <c r="B21" s="205" t="s">
        <v>69</v>
      </c>
      <c r="C21" s="203">
        <v>972000</v>
      </c>
      <c r="D21" s="223" t="s">
        <v>55</v>
      </c>
      <c r="E21" s="202" t="s">
        <v>56</v>
      </c>
      <c r="F21" s="192">
        <f>F16*0.03*1.8</f>
        <v>145.80000000000001</v>
      </c>
      <c r="G21" s="211">
        <f>21.5*1.02</f>
        <v>21.93</v>
      </c>
      <c r="H21" s="193">
        <f t="shared" si="1"/>
        <v>3197.39</v>
      </c>
      <c r="I21" s="194">
        <f t="shared" ref="I21" si="40">ROUND(H21*(1+$I$5),2)</f>
        <v>3996.74</v>
      </c>
      <c r="J21" s="114"/>
      <c r="K21" s="241">
        <v>18.43</v>
      </c>
      <c r="L21" s="240">
        <v>3358.86</v>
      </c>
      <c r="M21" s="246">
        <v>0</v>
      </c>
      <c r="N21" s="244">
        <f t="shared" ref="N21" si="41">IF(M21="","",L21*M21)</f>
        <v>0</v>
      </c>
      <c r="O21" s="246"/>
      <c r="P21" s="244" t="str">
        <f t="shared" ref="P21" si="42">IF(O21="","",L21*O21)</f>
        <v/>
      </c>
      <c r="Q21" s="246"/>
      <c r="R21" s="244" t="str">
        <f t="shared" ref="R21" si="43">IF(Q21="","",L21*Q21)</f>
        <v/>
      </c>
      <c r="S21" s="246"/>
      <c r="T21" s="244" t="str">
        <f t="shared" ref="T21" si="44">IF(S21="","",L21*S21)</f>
        <v/>
      </c>
      <c r="U21" s="246"/>
      <c r="V21" s="244" t="str">
        <f t="shared" ref="V21" si="45">IF(U21="","",L21*U21)</f>
        <v/>
      </c>
      <c r="W21" s="246"/>
      <c r="X21" s="244" t="str">
        <f t="shared" ref="X21" si="46">IF(W21="","",L21*W21)</f>
        <v/>
      </c>
      <c r="Y21" s="245">
        <f t="shared" ref="Y21" si="47">IF(AND(M21="",O21="",Q21="",S21="",U21="",W21=""),"",IF(M21+O21+Q21+S21+U21+W21&gt;1,"ERRO",M21+O21+Q21+S21+U21+W21))</f>
        <v>0</v>
      </c>
      <c r="Z21" s="244">
        <f t="shared" ref="Z21" si="48">IF(Y21="","",IF(Y21="ERRO","ERRO",Y21*L21))</f>
        <v>0</v>
      </c>
    </row>
    <row r="22" spans="1:36" s="115" customFormat="1" ht="13.5" thickBot="1" x14ac:dyDescent="0.25">
      <c r="A22" s="147" t="s">
        <v>46</v>
      </c>
      <c r="B22" s="205" t="s">
        <v>73</v>
      </c>
      <c r="C22" s="203">
        <v>98525</v>
      </c>
      <c r="D22" s="230" t="s">
        <v>72</v>
      </c>
      <c r="E22" s="128" t="s">
        <v>54</v>
      </c>
      <c r="F22" s="192">
        <f>F10</f>
        <v>8000</v>
      </c>
      <c r="G22" s="192">
        <v>0.47</v>
      </c>
      <c r="H22" s="193">
        <f t="shared" ref="H22" si="49">IF($F22=0,0,ROUND($F22*$G22,2))</f>
        <v>3760</v>
      </c>
      <c r="I22" s="194">
        <f t="shared" si="2"/>
        <v>4700</v>
      </c>
      <c r="J22" s="114"/>
      <c r="K22" s="239">
        <v>0.4</v>
      </c>
      <c r="L22" s="238">
        <f t="shared" ref="L22" si="50">F22*K22*(1+$I$5)</f>
        <v>4000</v>
      </c>
      <c r="M22" s="184">
        <v>0</v>
      </c>
      <c r="N22" s="189">
        <f t="shared" ref="N22" si="51">IF(M22="","",L22*M22)</f>
        <v>0</v>
      </c>
      <c r="O22" s="184"/>
      <c r="P22" s="189" t="str">
        <f t="shared" ref="P22" si="52">IF(O22="","",L22*O22)</f>
        <v/>
      </c>
      <c r="Q22" s="184"/>
      <c r="R22" s="189" t="str">
        <f t="shared" ref="R22" si="53">IF(Q22="","",L22*Q22)</f>
        <v/>
      </c>
      <c r="S22" s="184"/>
      <c r="T22" s="189" t="str">
        <f t="shared" ref="T22" si="54">IF(S22="","",L22*S22)</f>
        <v/>
      </c>
      <c r="U22" s="184"/>
      <c r="V22" s="189" t="str">
        <f t="shared" ref="V22" si="55">IF(U22="","",L22*U22)</f>
        <v/>
      </c>
      <c r="W22" s="184"/>
      <c r="X22" s="189" t="str">
        <f t="shared" ref="X22" si="56">IF(W22="","",L22*W22)</f>
        <v/>
      </c>
      <c r="Y22" s="187">
        <f t="shared" ref="Y22" si="57">IF(AND(M22="",O22="",Q22="",S22="",U22="",W22=""),"",IF(M22+O22+Q22+S22+U22+W22&gt;1,"ERRO",M22+O22+Q22+S22+U22+W22))</f>
        <v>0</v>
      </c>
      <c r="Z22" s="189">
        <f t="shared" ref="Z22" si="58">IF(Y22="","",IF(Y22="ERRO","ERRO",Y22*L22))</f>
        <v>0</v>
      </c>
    </row>
    <row r="23" spans="1:36" s="115" customFormat="1" ht="13.5" thickBot="1" x14ac:dyDescent="0.25">
      <c r="A23" s="147"/>
      <c r="B23" s="224"/>
      <c r="C23" s="225"/>
      <c r="D23" s="226"/>
      <c r="E23" s="227"/>
      <c r="F23" s="228"/>
      <c r="G23" s="149" t="s">
        <v>40</v>
      </c>
      <c r="H23" s="149">
        <f>SUM(H15:H22)</f>
        <v>280184.31</v>
      </c>
      <c r="I23" s="150">
        <f>SUM(I15:I22)</f>
        <v>350230.39</v>
      </c>
      <c r="J23" s="114"/>
      <c r="K23" s="166" t="s">
        <v>40</v>
      </c>
      <c r="L23" s="165">
        <f>SUM(L15:L22)</f>
        <v>294891.01</v>
      </c>
      <c r="M23" s="166" t="s">
        <v>40</v>
      </c>
      <c r="N23" s="165">
        <f>SUM(N22)</f>
        <v>0</v>
      </c>
      <c r="O23" s="166" t="s">
        <v>40</v>
      </c>
      <c r="P23" s="165">
        <f>SUM(P22)</f>
        <v>0</v>
      </c>
      <c r="Q23" s="166" t="s">
        <v>40</v>
      </c>
      <c r="R23" s="165">
        <f>SUM(R22)</f>
        <v>0</v>
      </c>
      <c r="S23" s="166" t="s">
        <v>40</v>
      </c>
      <c r="T23" s="165">
        <f>SUM(T22)</f>
        <v>0</v>
      </c>
      <c r="U23" s="166" t="s">
        <v>40</v>
      </c>
      <c r="V23" s="165">
        <f>SUM(V22)</f>
        <v>0</v>
      </c>
      <c r="W23" s="166" t="s">
        <v>40</v>
      </c>
      <c r="X23" s="165">
        <f>SUM(X22)</f>
        <v>0</v>
      </c>
      <c r="Y23" s="166" t="s">
        <v>40</v>
      </c>
      <c r="Z23" s="165">
        <f>SUM(Z22)</f>
        <v>0</v>
      </c>
    </row>
    <row r="24" spans="1:36" ht="16.5" customHeight="1" thickBot="1" x14ac:dyDescent="0.25">
      <c r="B24" s="133"/>
      <c r="C24" s="200"/>
      <c r="D24" s="134"/>
      <c r="E24" s="130"/>
      <c r="F24" s="131"/>
      <c r="G24" s="135"/>
      <c r="H24" s="135" t="s">
        <v>32</v>
      </c>
      <c r="I24" s="153">
        <f>SUMIF(G9:G23,"SUBTOTAL",H9:H23)</f>
        <v>402070.61</v>
      </c>
      <c r="J24" s="114"/>
      <c r="L24" s="157"/>
      <c r="M24" s="127"/>
      <c r="O24" s="127"/>
      <c r="Q24" s="127"/>
      <c r="S24" s="127"/>
      <c r="U24" s="127"/>
      <c r="W24" s="127"/>
      <c r="Y24" s="127"/>
      <c r="AA24" s="110" t="e">
        <f>SUBTOTAL(9,AA8:AA23)</f>
        <v>#REF!</v>
      </c>
    </row>
    <row r="25" spans="1:36" ht="13.5" thickBot="1" x14ac:dyDescent="0.25">
      <c r="B25" s="133"/>
      <c r="C25" s="200"/>
      <c r="D25" s="134"/>
      <c r="E25" s="130"/>
      <c r="F25" s="131"/>
      <c r="G25" s="135"/>
      <c r="H25" s="135" t="s">
        <v>34</v>
      </c>
      <c r="I25" s="153">
        <f>SUMIF(G9:G23,"SUBTOTAL",I9:I23)</f>
        <v>502588.27</v>
      </c>
      <c r="J25" s="114"/>
      <c r="L25" s="157"/>
      <c r="M25" s="127"/>
      <c r="O25" s="127"/>
      <c r="Q25" s="127"/>
      <c r="S25" s="127"/>
      <c r="U25" s="127"/>
      <c r="W25" s="127"/>
      <c r="Y25" s="127"/>
    </row>
    <row r="26" spans="1:36" x14ac:dyDescent="0.2">
      <c r="G26" s="126"/>
      <c r="H26" s="137"/>
      <c r="J26" s="114"/>
    </row>
    <row r="27" spans="1:36" x14ac:dyDescent="0.2">
      <c r="J27" s="114"/>
    </row>
    <row r="28" spans="1:36" ht="33.75" customHeight="1" x14ac:dyDescent="0.2">
      <c r="H28" s="138"/>
      <c r="I28" s="229"/>
      <c r="J28" s="114"/>
    </row>
    <row r="29" spans="1:36" x14ac:dyDescent="0.2">
      <c r="H29" s="139"/>
      <c r="I29" s="229"/>
      <c r="J29" s="114"/>
    </row>
    <row r="30" spans="1:36" x14ac:dyDescent="0.2">
      <c r="B30" s="110" t="s">
        <v>38</v>
      </c>
      <c r="H30" s="139"/>
      <c r="I30" s="250"/>
      <c r="J30" s="114"/>
    </row>
    <row r="31" spans="1:36" x14ac:dyDescent="0.2">
      <c r="B31" s="110" t="s">
        <v>37</v>
      </c>
      <c r="I31" s="250"/>
      <c r="J31" s="114"/>
    </row>
    <row r="32" spans="1:36" x14ac:dyDescent="0.2">
      <c r="H32" s="140"/>
      <c r="J32" s="114"/>
      <c r="AJ32" s="110">
        <f>SUBTOTAL(9,AJ8:AJ31)</f>
        <v>0</v>
      </c>
    </row>
    <row r="33" spans="1:36" x14ac:dyDescent="0.2">
      <c r="I33" s="251"/>
      <c r="J33" s="114"/>
      <c r="L33" s="141"/>
    </row>
    <row r="34" spans="1:36" x14ac:dyDescent="0.2">
      <c r="I34" s="229"/>
      <c r="J34" s="114"/>
      <c r="L34" s="138"/>
      <c r="M34" s="127"/>
      <c r="O34" s="127"/>
      <c r="Q34" s="127"/>
      <c r="S34" s="127"/>
      <c r="U34" s="127"/>
      <c r="W34" s="127"/>
    </row>
    <row r="35" spans="1:36" x14ac:dyDescent="0.2">
      <c r="I35" s="126"/>
      <c r="J35" s="114"/>
      <c r="L35" s="126"/>
    </row>
    <row r="36" spans="1:36" x14ac:dyDescent="0.2">
      <c r="J36" s="126"/>
      <c r="L36" s="126"/>
      <c r="N36" s="127"/>
      <c r="P36" s="127"/>
      <c r="R36" s="127"/>
      <c r="T36" s="127"/>
      <c r="V36" s="127"/>
      <c r="X36" s="127"/>
    </row>
    <row r="37" spans="1:36" x14ac:dyDescent="0.2">
      <c r="N37" s="142"/>
      <c r="P37" s="142"/>
      <c r="R37" s="142"/>
      <c r="T37" s="142"/>
      <c r="V37" s="142"/>
      <c r="X37" s="142"/>
    </row>
    <row r="38" spans="1:36" x14ac:dyDescent="0.2">
      <c r="N38" s="127"/>
      <c r="P38" s="127"/>
      <c r="R38" s="127"/>
      <c r="T38" s="127"/>
      <c r="V38" s="127"/>
      <c r="X38" s="127"/>
    </row>
    <row r="43" spans="1:36" s="115" customFormat="1" x14ac:dyDescent="0.2">
      <c r="A43" s="144"/>
      <c r="B43" s="110"/>
      <c r="C43" s="110"/>
      <c r="D43" s="110"/>
      <c r="E43" s="110"/>
      <c r="F43" s="110"/>
      <c r="G43" s="110"/>
      <c r="H43" s="110"/>
      <c r="I43" s="143"/>
      <c r="J43" s="143"/>
      <c r="K43" s="110"/>
      <c r="L43" s="143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</row>
    <row r="44" spans="1:36" s="115" customFormat="1" x14ac:dyDescent="0.2">
      <c r="A44" s="144"/>
      <c r="B44" s="110"/>
      <c r="C44" s="110"/>
      <c r="D44" s="110"/>
      <c r="E44" s="110"/>
      <c r="F44" s="110"/>
      <c r="G44" s="110"/>
      <c r="H44" s="110"/>
      <c r="I44" s="143"/>
      <c r="J44" s="143"/>
      <c r="K44" s="110"/>
      <c r="L44" s="143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</row>
  </sheetData>
  <mergeCells count="11">
    <mergeCell ref="B6:B7"/>
    <mergeCell ref="K6:L6"/>
    <mergeCell ref="Y6:Z6"/>
    <mergeCell ref="D4:G4"/>
    <mergeCell ref="K4:L4"/>
    <mergeCell ref="M4:Z4"/>
    <mergeCell ref="K5:L5"/>
    <mergeCell ref="Y5:Z5"/>
    <mergeCell ref="C6:C7"/>
    <mergeCell ref="D6:D7"/>
    <mergeCell ref="E6:E7"/>
  </mergeCells>
  <phoneticPr fontId="0" type="noConversion"/>
  <printOptions horizontalCentered="1"/>
  <pageMargins left="0.78740157480314965" right="0.78740157480314965" top="0.78740157480314965" bottom="0.78740157480314965" header="0" footer="0"/>
  <pageSetup paperSize="9" scale="62" fitToHeight="0" orientation="landscape" r:id="rId1"/>
  <headerFooter alignWithMargins="0"/>
  <colBreaks count="1" manualBreakCount="1">
    <brk id="10" min="1" max="72" man="1"/>
  </colBreaks>
  <ignoredErrors>
    <ignoredError sqref="F20 F19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E0704-0886-4162-BAB7-763EE2C8EE2B}">
  <dimension ref="A1"/>
  <sheetViews>
    <sheetView workbookViewId="0">
      <selection activeCell="H21" sqref="H21:H24"/>
    </sheetView>
  </sheetViews>
  <sheetFormatPr defaultRowHeight="11.25" x14ac:dyDescent="0.2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23</vt:i4>
      </vt:variant>
    </vt:vector>
  </HeadingPairs>
  <TitlesOfParts>
    <vt:vector size="26" baseType="lpstr">
      <vt:lpstr>Cronograma</vt:lpstr>
      <vt:lpstr>CALÇAMENTO</vt:lpstr>
      <vt:lpstr>Planilha1</vt:lpstr>
      <vt:lpstr>CALÇAMENTO!Area_de_impressao</vt:lpstr>
      <vt:lpstr>Cronograma!Area_de_impressao</vt:lpstr>
      <vt:lpstr>CALÇAMENTO!DadosExternos15</vt:lpstr>
      <vt:lpstr>CALÇAMENTO!DadosExternos15_1</vt:lpstr>
      <vt:lpstr>CALÇAMENTO!DadosExternos15_2</vt:lpstr>
      <vt:lpstr>CALÇAMENTO!DadosExternos16</vt:lpstr>
      <vt:lpstr>CALÇAMENTO!DadosExternos16_1</vt:lpstr>
      <vt:lpstr>CALÇAMENTO!DadosExternos16_2</vt:lpstr>
      <vt:lpstr>CALÇAMENTO!DadosExternos17</vt:lpstr>
      <vt:lpstr>CALÇAMENTO!DadosExternos17_1</vt:lpstr>
      <vt:lpstr>CALÇAMENTO!DadosExternos17_2</vt:lpstr>
      <vt:lpstr>CALÇAMENTO!DadosExternos18</vt:lpstr>
      <vt:lpstr>CALÇAMENTO!DadosExternos18_1</vt:lpstr>
      <vt:lpstr>CALÇAMENTO!DadosExternos18_2</vt:lpstr>
      <vt:lpstr>CALÇAMENTO!DadosExternos2</vt:lpstr>
      <vt:lpstr>CALÇAMENTO!DadosExternos2_1</vt:lpstr>
      <vt:lpstr>CALÇAMENTO!DadosExternos2_2</vt:lpstr>
      <vt:lpstr>CALÇAMENTO!DadosExternos5</vt:lpstr>
      <vt:lpstr>CALÇAMENTO!DadosExternos5_1</vt:lpstr>
      <vt:lpstr>CALÇAMENTO!DadosExternos5_2</vt:lpstr>
      <vt:lpstr>CALÇAMENTO!DadosExternos6</vt:lpstr>
      <vt:lpstr>CALÇAMENTO!DadosExternos6_1</vt:lpstr>
      <vt:lpstr>CALÇAMENTO!DadosExternos6_2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Prefeitura</cp:lastModifiedBy>
  <cp:lastPrinted>2025-03-26T17:02:58Z</cp:lastPrinted>
  <dcterms:created xsi:type="dcterms:W3CDTF">1998-02-17T17:03:09Z</dcterms:created>
  <dcterms:modified xsi:type="dcterms:W3CDTF">2025-03-26T17:13:26Z</dcterms:modified>
</cp:coreProperties>
</file>