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PREFEITURA\01_PROJETOS\00 - PROJETOS EM ESTUDO 2017 - 2024\2023 - 36 - PROPOSTA ITAIPU CONVENIO + ENERGIA\04_DOCUMENTOS\06 ADEQUAÇÕES\01 ADEQUAÇÃO SÍTIO BAHIA PINHALZINHO\11_ORCAMENTO\"/>
    </mc:Choice>
  </mc:AlternateContent>
  <xr:revisionPtr revIDLastSave="0" documentId="13_ncr:1_{F3B1AC49-7833-4857-80F3-D627B0ED5BD5}" xr6:coauthVersionLast="47" xr6:coauthVersionMax="47" xr10:uidLastSave="{00000000-0000-0000-0000-000000000000}"/>
  <bookViews>
    <workbookView xWindow="-120" yWindow="-120" windowWidth="29040" windowHeight="15720" tabRatio="697" activeTab="1" xr2:uid="{00000000-000D-0000-FFFF-FFFF00000000}"/>
  </bookViews>
  <sheets>
    <sheet name="Cronograma" sheetId="16" r:id="rId1"/>
    <sheet name="TRECHO 01" sheetId="26" r:id="rId2"/>
    <sheet name="Planilha1" sheetId="37" r:id="rId3"/>
    <sheet name="Cronograma Licitado" sheetId="38" r:id="rId4"/>
  </sheets>
  <definedNames>
    <definedName name="_xlnm.Print_Area" localSheetId="0">Cronograma!$B$2:$U$50</definedName>
    <definedName name="_xlnm.Print_Area" localSheetId="3">'Cronograma Licitado'!$B$2:$U$50</definedName>
    <definedName name="_xlnm.Print_Area" localSheetId="1">'TRECHO 01'!$B$2:$Z$43</definedName>
    <definedName name="DadosExternos15" localSheetId="1">'TRECHO 01'!$B$7:$B$17</definedName>
    <definedName name="DadosExternos15_1" localSheetId="1">'TRECHO 01'!$B$7:$B$17</definedName>
    <definedName name="DadosExternos15_2" localSheetId="1">'TRECHO 01'!$B$7:$B$17</definedName>
    <definedName name="DadosExternos16" localSheetId="1">'TRECHO 01'!$B$7:$B$17</definedName>
    <definedName name="DadosExternos16_1" localSheetId="1">'TRECHO 01'!$B$7:$B$17</definedName>
    <definedName name="DadosExternos16_2" localSheetId="1">'TRECHO 01'!$B$7:$B$17</definedName>
    <definedName name="DadosExternos17" localSheetId="1">'TRECHO 01'!$B$7:$B$17</definedName>
    <definedName name="DadosExternos17_1" localSheetId="1">'TRECHO 01'!$B$7:$B$17</definedName>
    <definedName name="DadosExternos17_2" localSheetId="1">'TRECHO 01'!$B$7:$B$17</definedName>
    <definedName name="DadosExternos18" localSheetId="1">'TRECHO 01'!$B$12:$E$17</definedName>
    <definedName name="DadosExternos18_1" localSheetId="1">'TRECHO 01'!$B$12:$E$17</definedName>
    <definedName name="DadosExternos18_2" localSheetId="1">'TRECHO 01'!$B$12:$E$17</definedName>
    <definedName name="DadosExternos18_3" localSheetId="1">'TRECHO 01'!$B$19:$E$24</definedName>
    <definedName name="DadosExternos18_4" localSheetId="1">'TRECHO 01'!$B$19:$E$24</definedName>
    <definedName name="DadosExternos18_5" localSheetId="1">'TRECHO 01'!$B$19:$E$24</definedName>
    <definedName name="DadosExternos18_6" localSheetId="1">'TRECHO 01'!$B$26:$E$32</definedName>
    <definedName name="DadosExternos18_7" localSheetId="1">'TRECHO 01'!$B$26:$E$32</definedName>
    <definedName name="DadosExternos18_8" localSheetId="1">'TRECHO 01'!$B$26:$E$32</definedName>
    <definedName name="DadosExternos2" localSheetId="1">'TRECHO 01'!$B$7:$B$17</definedName>
    <definedName name="DadosExternos2_1" localSheetId="1">'TRECHO 01'!$B$7:$B$17</definedName>
    <definedName name="DadosExternos2_2" localSheetId="1">'TRECHO 01'!$B$7:$B$17</definedName>
    <definedName name="DadosExternos5" localSheetId="1">'TRECHO 01'!$B$7:$B$17</definedName>
    <definedName name="DadosExternos5_1" localSheetId="1">'TRECHO 01'!$B$7:$B$17</definedName>
    <definedName name="DadosExternos5_2" localSheetId="1">'TRECHO 01'!$B$7:$B$17</definedName>
    <definedName name="DadosExternos6" localSheetId="1">'TRECHO 01'!$B$7:$B$17</definedName>
    <definedName name="DadosExternos6_1" localSheetId="1">'TRECHO 01'!$B$7:$B$17</definedName>
    <definedName name="DadosExternos6_2" localSheetId="1">'TRECHO 01'!$B$7:$B$17</definedName>
    <definedName name="FIM" localSheetId="1">#REF!</definedName>
    <definedName name="FIM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7" i="26" l="1"/>
  <c r="M47" i="26" l="1"/>
  <c r="L47" i="26"/>
  <c r="L46" i="26"/>
  <c r="S40" i="38" l="1"/>
  <c r="R40" i="38"/>
  <c r="Q40" i="38"/>
  <c r="P40" i="38"/>
  <c r="O40" i="38"/>
  <c r="S39" i="38"/>
  <c r="R39" i="38"/>
  <c r="Q39" i="38"/>
  <c r="P39" i="38"/>
  <c r="O39" i="38"/>
  <c r="L39" i="38"/>
  <c r="G39" i="38"/>
  <c r="B39" i="38"/>
  <c r="C40" i="38" s="1"/>
  <c r="S38" i="38"/>
  <c r="R38" i="38"/>
  <c r="Q38" i="38"/>
  <c r="P38" i="38"/>
  <c r="O38" i="38"/>
  <c r="K38" i="38"/>
  <c r="J38" i="38"/>
  <c r="C38" i="38"/>
  <c r="S37" i="38"/>
  <c r="R37" i="38"/>
  <c r="Q37" i="38"/>
  <c r="P37" i="38"/>
  <c r="O37" i="38"/>
  <c r="M37" i="38"/>
  <c r="L37" i="38"/>
  <c r="F37" i="38"/>
  <c r="E37" i="38"/>
  <c r="C37" i="38"/>
  <c r="B37" i="38"/>
  <c r="S36" i="38"/>
  <c r="R36" i="38"/>
  <c r="Q36" i="38"/>
  <c r="P36" i="38"/>
  <c r="O36" i="38"/>
  <c r="I36" i="38"/>
  <c r="H36" i="38"/>
  <c r="E36" i="38"/>
  <c r="C36" i="38"/>
  <c r="S35" i="38"/>
  <c r="R35" i="38"/>
  <c r="Q35" i="38"/>
  <c r="P35" i="38"/>
  <c r="O35" i="38"/>
  <c r="B35" i="38"/>
  <c r="C35" i="38" s="1"/>
  <c r="S34" i="38"/>
  <c r="R34" i="38"/>
  <c r="Q34" i="38"/>
  <c r="P34" i="38"/>
  <c r="O34" i="38"/>
  <c r="C34" i="38"/>
  <c r="S33" i="38"/>
  <c r="R33" i="38"/>
  <c r="Q33" i="38"/>
  <c r="P33" i="38"/>
  <c r="O33" i="38"/>
  <c r="B33" i="38"/>
  <c r="C33" i="38" s="1"/>
  <c r="S32" i="38"/>
  <c r="R32" i="38"/>
  <c r="Q32" i="38"/>
  <c r="P32" i="38"/>
  <c r="O32" i="38"/>
  <c r="N32" i="38"/>
  <c r="J32" i="38"/>
  <c r="I32" i="38"/>
  <c r="S31" i="38"/>
  <c r="R31" i="38"/>
  <c r="Q31" i="38"/>
  <c r="P31" i="38"/>
  <c r="O31" i="38"/>
  <c r="K31" i="38"/>
  <c r="E31" i="38"/>
  <c r="C31" i="38"/>
  <c r="B31" i="38"/>
  <c r="C32" i="38" s="1"/>
  <c r="T30" i="38"/>
  <c r="S30" i="38"/>
  <c r="R30" i="38"/>
  <c r="Q30" i="38"/>
  <c r="P30" i="38"/>
  <c r="O30" i="38"/>
  <c r="N30" i="38"/>
  <c r="M30" i="38"/>
  <c r="L30" i="38"/>
  <c r="K30" i="38"/>
  <c r="J30" i="38"/>
  <c r="I30" i="38"/>
  <c r="H30" i="38"/>
  <c r="G30" i="38"/>
  <c r="F30" i="38"/>
  <c r="E30" i="38"/>
  <c r="C30" i="38"/>
  <c r="S29" i="38"/>
  <c r="R29" i="38"/>
  <c r="Q29" i="38"/>
  <c r="P29" i="38"/>
  <c r="O29" i="38"/>
  <c r="N29" i="38"/>
  <c r="M29" i="38"/>
  <c r="L29" i="38"/>
  <c r="K29" i="38"/>
  <c r="J29" i="38"/>
  <c r="I29" i="38"/>
  <c r="H29" i="38"/>
  <c r="G29" i="38"/>
  <c r="F29" i="38"/>
  <c r="E29" i="38"/>
  <c r="T29" i="38" s="1"/>
  <c r="C29" i="38"/>
  <c r="B29" i="38"/>
  <c r="T28" i="38"/>
  <c r="S28" i="38"/>
  <c r="R28" i="38"/>
  <c r="Q28" i="38"/>
  <c r="P28" i="38"/>
  <c r="O28" i="38"/>
  <c r="N28" i="38"/>
  <c r="M28" i="38"/>
  <c r="L28" i="38"/>
  <c r="K28" i="38"/>
  <c r="J28" i="38"/>
  <c r="I28" i="38"/>
  <c r="H28" i="38"/>
  <c r="G28" i="38"/>
  <c r="F28" i="38"/>
  <c r="E28" i="38"/>
  <c r="C28" i="38"/>
  <c r="S27" i="38"/>
  <c r="R27" i="38"/>
  <c r="Q27" i="38"/>
  <c r="P27" i="38"/>
  <c r="O27" i="38"/>
  <c r="N27" i="38"/>
  <c r="M27" i="38"/>
  <c r="L27" i="38"/>
  <c r="K27" i="38"/>
  <c r="J27" i="38"/>
  <c r="I27" i="38"/>
  <c r="H27" i="38"/>
  <c r="G27" i="38"/>
  <c r="F27" i="38"/>
  <c r="E27" i="38"/>
  <c r="T27" i="38" s="1"/>
  <c r="B27" i="38"/>
  <c r="C27" i="38" s="1"/>
  <c r="T26" i="38"/>
  <c r="S26" i="38"/>
  <c r="R26" i="38"/>
  <c r="Q26" i="38"/>
  <c r="P26" i="38"/>
  <c r="O26" i="38"/>
  <c r="N26" i="38"/>
  <c r="M26" i="38"/>
  <c r="L26" i="38"/>
  <c r="K26" i="38"/>
  <c r="J26" i="38"/>
  <c r="I26" i="38"/>
  <c r="H26" i="38"/>
  <c r="G26" i="38"/>
  <c r="F26" i="38"/>
  <c r="E26" i="38"/>
  <c r="T25" i="38"/>
  <c r="S25" i="38"/>
  <c r="R25" i="38"/>
  <c r="Q25" i="38"/>
  <c r="P25" i="38"/>
  <c r="O25" i="38"/>
  <c r="N25" i="38"/>
  <c r="M25" i="38"/>
  <c r="L25" i="38"/>
  <c r="K25" i="38"/>
  <c r="J25" i="38"/>
  <c r="I25" i="38"/>
  <c r="H25" i="38"/>
  <c r="G25" i="38"/>
  <c r="F25" i="38"/>
  <c r="E25" i="38"/>
  <c r="B25" i="38"/>
  <c r="C26" i="38" s="1"/>
  <c r="S24" i="38"/>
  <c r="R24" i="38"/>
  <c r="Q24" i="38"/>
  <c r="P24" i="38"/>
  <c r="O24" i="38"/>
  <c r="N24" i="38"/>
  <c r="M24" i="38"/>
  <c r="G24" i="38"/>
  <c r="F24" i="38"/>
  <c r="S23" i="38"/>
  <c r="R23" i="38"/>
  <c r="Q23" i="38"/>
  <c r="P23" i="38"/>
  <c r="O23" i="38"/>
  <c r="I23" i="38"/>
  <c r="H23" i="38"/>
  <c r="E23" i="38"/>
  <c r="C23" i="38"/>
  <c r="B23" i="38"/>
  <c r="C24" i="38" s="1"/>
  <c r="S22" i="38"/>
  <c r="R22" i="38"/>
  <c r="Q22" i="38"/>
  <c r="P22" i="38"/>
  <c r="O22" i="38"/>
  <c r="H22" i="38"/>
  <c r="G22" i="38"/>
  <c r="C22" i="38"/>
  <c r="S21" i="38"/>
  <c r="R21" i="38"/>
  <c r="Q21" i="38"/>
  <c r="P21" i="38"/>
  <c r="O21" i="38"/>
  <c r="J21" i="38"/>
  <c r="I21" i="38"/>
  <c r="E21" i="38"/>
  <c r="C21" i="38"/>
  <c r="B21" i="38"/>
  <c r="T15" i="38"/>
  <c r="H39" i="38" s="1"/>
  <c r="N15" i="38"/>
  <c r="N40" i="38" s="1"/>
  <c r="M15" i="38"/>
  <c r="M40" i="38" s="1"/>
  <c r="L15" i="38"/>
  <c r="L40" i="38" s="1"/>
  <c r="K15" i="38"/>
  <c r="K39" i="38" s="1"/>
  <c r="J15" i="38"/>
  <c r="J39" i="38" s="1"/>
  <c r="I15" i="38"/>
  <c r="I40" i="38" s="1"/>
  <c r="H15" i="38"/>
  <c r="H40" i="38" s="1"/>
  <c r="G15" i="38"/>
  <c r="G40" i="38" s="1"/>
  <c r="F15" i="38"/>
  <c r="F40" i="38" s="1"/>
  <c r="E15" i="38"/>
  <c r="E40" i="38" s="1"/>
  <c r="C15" i="38"/>
  <c r="T14" i="38"/>
  <c r="N14" i="38"/>
  <c r="N38" i="38" s="1"/>
  <c r="M14" i="38"/>
  <c r="M38" i="38" s="1"/>
  <c r="L14" i="38"/>
  <c r="L38" i="38" s="1"/>
  <c r="K14" i="38"/>
  <c r="K37" i="38" s="1"/>
  <c r="J14" i="38"/>
  <c r="J37" i="38" s="1"/>
  <c r="I14" i="38"/>
  <c r="I38" i="38" s="1"/>
  <c r="H14" i="38"/>
  <c r="H38" i="38" s="1"/>
  <c r="G14" i="38"/>
  <c r="G38" i="38" s="1"/>
  <c r="F14" i="38"/>
  <c r="F38" i="38" s="1"/>
  <c r="E14" i="38"/>
  <c r="V14" i="38" s="1"/>
  <c r="C14" i="38"/>
  <c r="V13" i="38"/>
  <c r="T13" i="38"/>
  <c r="N13" i="38"/>
  <c r="N36" i="38" s="1"/>
  <c r="M13" i="38"/>
  <c r="M36" i="38" s="1"/>
  <c r="L13" i="38"/>
  <c r="L36" i="38" s="1"/>
  <c r="K13" i="38"/>
  <c r="K36" i="38" s="1"/>
  <c r="J13" i="38"/>
  <c r="J36" i="38" s="1"/>
  <c r="I13" i="38"/>
  <c r="I35" i="38" s="1"/>
  <c r="H13" i="38"/>
  <c r="H35" i="38" s="1"/>
  <c r="G13" i="38"/>
  <c r="G36" i="38" s="1"/>
  <c r="F13" i="38"/>
  <c r="F35" i="38" s="1"/>
  <c r="E13" i="38"/>
  <c r="E35" i="38" s="1"/>
  <c r="C13" i="38"/>
  <c r="T12" i="38"/>
  <c r="G33" i="38" s="1"/>
  <c r="N12" i="38"/>
  <c r="N34" i="38" s="1"/>
  <c r="M12" i="38"/>
  <c r="M33" i="38" s="1"/>
  <c r="L12" i="38"/>
  <c r="L34" i="38" s="1"/>
  <c r="K12" i="38"/>
  <c r="K34" i="38" s="1"/>
  <c r="J12" i="38"/>
  <c r="J33" i="38" s="1"/>
  <c r="I12" i="38"/>
  <c r="I33" i="38" s="1"/>
  <c r="H12" i="38"/>
  <c r="H34" i="38" s="1"/>
  <c r="G12" i="38"/>
  <c r="G34" i="38" s="1"/>
  <c r="F12" i="38"/>
  <c r="F34" i="38" s="1"/>
  <c r="E12" i="38"/>
  <c r="E34" i="38" s="1"/>
  <c r="C12" i="38"/>
  <c r="T11" i="38"/>
  <c r="N11" i="38"/>
  <c r="N31" i="38" s="1"/>
  <c r="M11" i="38"/>
  <c r="M32" i="38" s="1"/>
  <c r="L11" i="38"/>
  <c r="L31" i="38" s="1"/>
  <c r="K11" i="38"/>
  <c r="K32" i="38" s="1"/>
  <c r="J11" i="38"/>
  <c r="J31" i="38" s="1"/>
  <c r="I11" i="38"/>
  <c r="I31" i="38" s="1"/>
  <c r="H11" i="38"/>
  <c r="H32" i="38" s="1"/>
  <c r="G11" i="38"/>
  <c r="G32" i="38" s="1"/>
  <c r="F11" i="38"/>
  <c r="F32" i="38" s="1"/>
  <c r="E11" i="38"/>
  <c r="V11" i="38" s="1"/>
  <c r="C11" i="38"/>
  <c r="V10" i="38"/>
  <c r="T10" i="38"/>
  <c r="L24" i="38" s="1"/>
  <c r="K10" i="38"/>
  <c r="K24" i="38" s="1"/>
  <c r="C10" i="38"/>
  <c r="V9" i="38"/>
  <c r="T9" i="38"/>
  <c r="F22" i="38" s="1"/>
  <c r="C9" i="38"/>
  <c r="C5" i="38"/>
  <c r="C4" i="38"/>
  <c r="C3" i="38"/>
  <c r="V32" i="26"/>
  <c r="X32" i="26"/>
  <c r="X24" i="26"/>
  <c r="V24" i="26"/>
  <c r="X21" i="26"/>
  <c r="V21" i="26"/>
  <c r="V14" i="26"/>
  <c r="V17" i="26"/>
  <c r="X17" i="26"/>
  <c r="X14" i="26"/>
  <c r="X11" i="26"/>
  <c r="V11" i="26"/>
  <c r="T11" i="26"/>
  <c r="T14" i="26"/>
  <c r="T17" i="26"/>
  <c r="T21" i="26"/>
  <c r="T24" i="26"/>
  <c r="Z29" i="26"/>
  <c r="X29" i="26"/>
  <c r="V29" i="26"/>
  <c r="T29" i="26"/>
  <c r="R29" i="26"/>
  <c r="P29" i="26"/>
  <c r="T32" i="26"/>
  <c r="P32" i="26"/>
  <c r="R32" i="26"/>
  <c r="R24" i="26"/>
  <c r="R21" i="26"/>
  <c r="R17" i="26"/>
  <c r="R14" i="26"/>
  <c r="R11" i="26"/>
  <c r="P11" i="26"/>
  <c r="P14" i="26"/>
  <c r="P17" i="26"/>
  <c r="P21" i="26"/>
  <c r="P24" i="26"/>
  <c r="X33" i="26"/>
  <c r="V33" i="26"/>
  <c r="T33" i="26"/>
  <c r="R33" i="26"/>
  <c r="P33" i="26"/>
  <c r="N32" i="26"/>
  <c r="N17" i="26"/>
  <c r="N14" i="26"/>
  <c r="N11" i="26"/>
  <c r="L29" i="26"/>
  <c r="E15" i="16"/>
  <c r="F15" i="16"/>
  <c r="G15" i="16"/>
  <c r="H15" i="16"/>
  <c r="I15" i="16"/>
  <c r="J15" i="16"/>
  <c r="K15" i="16"/>
  <c r="L15" i="16"/>
  <c r="M15" i="16"/>
  <c r="N15" i="16"/>
  <c r="C15" i="16"/>
  <c r="C12" i="16"/>
  <c r="C9" i="16"/>
  <c r="F10" i="26"/>
  <c r="I34" i="38" l="1"/>
  <c r="T34" i="38" s="1"/>
  <c r="K21" i="38"/>
  <c r="I22" i="38"/>
  <c r="F23" i="38"/>
  <c r="F36" i="38"/>
  <c r="T36" i="38" s="1"/>
  <c r="N39" i="38"/>
  <c r="K42" i="38"/>
  <c r="L33" i="38"/>
  <c r="J34" i="38"/>
  <c r="G35" i="38"/>
  <c r="T35" i="38" s="1"/>
  <c r="M39" i="38"/>
  <c r="K40" i="38"/>
  <c r="I43" i="38"/>
  <c r="L21" i="38"/>
  <c r="J22" i="38"/>
  <c r="G23" i="38"/>
  <c r="E24" i="38"/>
  <c r="N33" i="38"/>
  <c r="K43" i="38"/>
  <c r="H43" i="38"/>
  <c r="M21" i="38"/>
  <c r="M34" i="38"/>
  <c r="J35" i="38"/>
  <c r="M42" i="38"/>
  <c r="K33" i="38"/>
  <c r="L22" i="38"/>
  <c r="L43" i="38" s="1"/>
  <c r="C25" i="38"/>
  <c r="R43" i="38" s="1"/>
  <c r="K35" i="38"/>
  <c r="M22" i="38"/>
  <c r="J23" i="38"/>
  <c r="J42" i="38" s="1"/>
  <c r="J45" i="38" s="1"/>
  <c r="H24" i="38"/>
  <c r="F31" i="38"/>
  <c r="T31" i="38" s="1"/>
  <c r="L35" i="38"/>
  <c r="G37" i="38"/>
  <c r="T37" i="38" s="1"/>
  <c r="E38" i="38"/>
  <c r="T38" i="38" s="1"/>
  <c r="O42" i="38"/>
  <c r="O45" i="38" s="1"/>
  <c r="N43" i="38"/>
  <c r="N21" i="38"/>
  <c r="N42" i="38" s="1"/>
  <c r="N45" i="38" s="1"/>
  <c r="M43" i="38"/>
  <c r="V15" i="38"/>
  <c r="N22" i="38"/>
  <c r="K23" i="38"/>
  <c r="I24" i="38"/>
  <c r="G31" i="38"/>
  <c r="E32" i="38"/>
  <c r="M35" i="38"/>
  <c r="H37" i="38"/>
  <c r="P42" i="38"/>
  <c r="P45" i="38" s="1"/>
  <c r="O43" i="38"/>
  <c r="J40" i="38"/>
  <c r="T40" i="38" s="1"/>
  <c r="K22" i="38"/>
  <c r="T17" i="38"/>
  <c r="L23" i="38"/>
  <c r="L42" i="38" s="1"/>
  <c r="J24" i="38"/>
  <c r="J43" i="38" s="1"/>
  <c r="H31" i="38"/>
  <c r="N35" i="38"/>
  <c r="I37" i="38"/>
  <c r="C39" i="38"/>
  <c r="Q42" i="38"/>
  <c r="Q45" i="38" s="1"/>
  <c r="P43" i="38"/>
  <c r="F33" i="38"/>
  <c r="M23" i="38"/>
  <c r="E39" i="38"/>
  <c r="R42" i="38"/>
  <c r="Q43" i="38"/>
  <c r="I42" i="38"/>
  <c r="N23" i="38"/>
  <c r="E33" i="38"/>
  <c r="T33" i="38" s="1"/>
  <c r="F39" i="38"/>
  <c r="F42" i="38" s="1"/>
  <c r="S42" i="38"/>
  <c r="S45" i="38" s="1"/>
  <c r="V12" i="38"/>
  <c r="F21" i="38"/>
  <c r="M31" i="38"/>
  <c r="H33" i="38"/>
  <c r="N37" i="38"/>
  <c r="I39" i="38"/>
  <c r="S43" i="38"/>
  <c r="G21" i="38"/>
  <c r="E22" i="38"/>
  <c r="T22" i="38" s="1"/>
  <c r="L32" i="38"/>
  <c r="G42" i="38"/>
  <c r="H21" i="38"/>
  <c r="H42" i="38"/>
  <c r="Y10" i="26"/>
  <c r="Z10" i="26" s="1"/>
  <c r="Z11" i="26" s="1"/>
  <c r="X10" i="26"/>
  <c r="V10" i="26"/>
  <c r="T10" i="26"/>
  <c r="R10" i="26"/>
  <c r="P10" i="26"/>
  <c r="N10" i="26"/>
  <c r="L10" i="26"/>
  <c r="L11" i="26" s="1"/>
  <c r="H10" i="26"/>
  <c r="F31" i="26"/>
  <c r="F23" i="26"/>
  <c r="F16" i="26"/>
  <c r="N14" i="16"/>
  <c r="M14" i="16"/>
  <c r="L14" i="16"/>
  <c r="K14" i="16"/>
  <c r="J14" i="16"/>
  <c r="I14" i="16"/>
  <c r="H14" i="16"/>
  <c r="G14" i="16"/>
  <c r="F14" i="16"/>
  <c r="E14" i="16"/>
  <c r="C14" i="16"/>
  <c r="F28" i="26"/>
  <c r="L45" i="38" l="1"/>
  <c r="M45" i="38"/>
  <c r="K45" i="38"/>
  <c r="E43" i="38"/>
  <c r="T23" i="38"/>
  <c r="T24" i="38"/>
  <c r="T43" i="38" s="1"/>
  <c r="T39" i="38"/>
  <c r="I45" i="38"/>
  <c r="T32" i="38"/>
  <c r="G43" i="38"/>
  <c r="G45" i="38" s="1"/>
  <c r="R45" i="38"/>
  <c r="T21" i="38"/>
  <c r="T42" i="38" s="1"/>
  <c r="E42" i="38"/>
  <c r="E45" i="38" s="1"/>
  <c r="U11" i="38"/>
  <c r="U12" i="38"/>
  <c r="U13" i="38"/>
  <c r="U14" i="38"/>
  <c r="U15" i="38"/>
  <c r="U10" i="38"/>
  <c r="U9" i="38"/>
  <c r="H45" i="38"/>
  <c r="F43" i="38"/>
  <c r="F45" i="38" s="1"/>
  <c r="I10" i="26"/>
  <c r="I11" i="26" s="1"/>
  <c r="H11" i="26"/>
  <c r="H31" i="26"/>
  <c r="H32" i="26" s="1"/>
  <c r="F27" i="26"/>
  <c r="H23" i="26"/>
  <c r="F20" i="26"/>
  <c r="F13" i="26"/>
  <c r="Y31" i="26"/>
  <c r="Z31" i="26" s="1"/>
  <c r="Z32" i="26" s="1"/>
  <c r="X31" i="26"/>
  <c r="V31" i="26"/>
  <c r="T31" i="26"/>
  <c r="R31" i="26"/>
  <c r="P31" i="26"/>
  <c r="N31" i="26"/>
  <c r="Y28" i="26"/>
  <c r="Z28" i="26" s="1"/>
  <c r="X28" i="26"/>
  <c r="V28" i="26"/>
  <c r="T28" i="26"/>
  <c r="R28" i="26"/>
  <c r="P28" i="26"/>
  <c r="N28" i="26"/>
  <c r="Y27" i="26"/>
  <c r="Z27" i="26" s="1"/>
  <c r="X27" i="26"/>
  <c r="V27" i="26"/>
  <c r="T27" i="26"/>
  <c r="R27" i="26"/>
  <c r="P27" i="26"/>
  <c r="N27" i="26"/>
  <c r="L27" i="26"/>
  <c r="Y23" i="26"/>
  <c r="Z23" i="26" s="1"/>
  <c r="Z24" i="26" s="1"/>
  <c r="X23" i="26"/>
  <c r="V23" i="26"/>
  <c r="T23" i="26"/>
  <c r="R23" i="26"/>
  <c r="P23" i="26"/>
  <c r="N23" i="26"/>
  <c r="N24" i="26" s="1"/>
  <c r="Y20" i="26"/>
  <c r="Z20" i="26" s="1"/>
  <c r="Z21" i="26" s="1"/>
  <c r="X20" i="26"/>
  <c r="V20" i="26"/>
  <c r="T20" i="26"/>
  <c r="R20" i="26"/>
  <c r="P20" i="26"/>
  <c r="N20" i="26"/>
  <c r="N21" i="26" s="1"/>
  <c r="N33" i="26" s="1"/>
  <c r="C5" i="16"/>
  <c r="Y13" i="26"/>
  <c r="Z13" i="26" s="1"/>
  <c r="Z14" i="26" s="1"/>
  <c r="X13" i="26"/>
  <c r="V13" i="26"/>
  <c r="T13" i="26"/>
  <c r="R13" i="26"/>
  <c r="P13" i="26"/>
  <c r="N13" i="26"/>
  <c r="T45" i="38" l="1"/>
  <c r="U17" i="38"/>
  <c r="Z33" i="26"/>
  <c r="N29" i="26"/>
  <c r="T9" i="16"/>
  <c r="L20" i="26"/>
  <c r="L21" i="26" s="1"/>
  <c r="L23" i="26"/>
  <c r="L24" i="26" s="1"/>
  <c r="H20" i="26"/>
  <c r="I20" i="26" s="1"/>
  <c r="L28" i="26"/>
  <c r="L31" i="26"/>
  <c r="L32" i="26" s="1"/>
  <c r="I31" i="26"/>
  <c r="I32" i="26" s="1"/>
  <c r="T15" i="16" s="1"/>
  <c r="H27" i="26"/>
  <c r="I27" i="26" s="1"/>
  <c r="H28" i="26"/>
  <c r="I21" i="26"/>
  <c r="T12" i="16" s="1"/>
  <c r="I23" i="26"/>
  <c r="H24" i="26"/>
  <c r="H13" i="26"/>
  <c r="I13" i="26" s="1"/>
  <c r="L13" i="26"/>
  <c r="L14" i="26" s="1"/>
  <c r="L33" i="26" s="1"/>
  <c r="K5" i="26" s="1"/>
  <c r="C4" i="16"/>
  <c r="Y16" i="26"/>
  <c r="Z16" i="26" s="1"/>
  <c r="Z17" i="26" s="1"/>
  <c r="X16" i="26"/>
  <c r="V16" i="26"/>
  <c r="T16" i="26"/>
  <c r="R16" i="26"/>
  <c r="P16" i="26"/>
  <c r="N16" i="26"/>
  <c r="L16" i="26"/>
  <c r="L17" i="26" s="1"/>
  <c r="H16" i="26"/>
  <c r="I16" i="26" s="1"/>
  <c r="C3" i="16"/>
  <c r="E46" i="38" l="1"/>
  <c r="U35" i="38"/>
  <c r="U34" i="38"/>
  <c r="U21" i="38"/>
  <c r="U27" i="38"/>
  <c r="T46" i="38"/>
  <c r="U22" i="38"/>
  <c r="S46" i="38"/>
  <c r="U28" i="38"/>
  <c r="R46" i="38"/>
  <c r="Q46" i="38"/>
  <c r="P46" i="38"/>
  <c r="U33" i="38"/>
  <c r="O46" i="38"/>
  <c r="U39" i="38"/>
  <c r="U29" i="38"/>
  <c r="U40" i="38"/>
  <c r="N46" i="38"/>
  <c r="U26" i="38"/>
  <c r="M46" i="38"/>
  <c r="U32" i="38"/>
  <c r="L46" i="38"/>
  <c r="U38" i="38"/>
  <c r="U25" i="38"/>
  <c r="U31" i="38"/>
  <c r="U23" i="38"/>
  <c r="K46" i="38"/>
  <c r="J46" i="38"/>
  <c r="U37" i="38"/>
  <c r="I46" i="38"/>
  <c r="U24" i="38"/>
  <c r="U36" i="38"/>
  <c r="H46" i="38"/>
  <c r="U30" i="38"/>
  <c r="G46" i="38"/>
  <c r="F46" i="38"/>
  <c r="H21" i="26"/>
  <c r="H29" i="26"/>
  <c r="I24" i="26"/>
  <c r="T13" i="16" s="1"/>
  <c r="I28" i="26"/>
  <c r="U43" i="38" l="1"/>
  <c r="U42" i="38"/>
  <c r="I29" i="26"/>
  <c r="T14" i="16" s="1"/>
  <c r="I17" i="26"/>
  <c r="T11" i="16" s="1"/>
  <c r="H17" i="26"/>
  <c r="C10" i="16"/>
  <c r="C11" i="16"/>
  <c r="C13" i="16"/>
  <c r="K10" i="16"/>
  <c r="E11" i="16"/>
  <c r="F11" i="16"/>
  <c r="G11" i="16"/>
  <c r="H11" i="16"/>
  <c r="I11" i="16"/>
  <c r="J11" i="16"/>
  <c r="K11" i="16"/>
  <c r="L11" i="16"/>
  <c r="M11" i="16"/>
  <c r="N11" i="16"/>
  <c r="E12" i="16"/>
  <c r="F12" i="16"/>
  <c r="G12" i="16"/>
  <c r="H12" i="16"/>
  <c r="I12" i="16"/>
  <c r="J12" i="16"/>
  <c r="K12" i="16"/>
  <c r="L12" i="16"/>
  <c r="M12" i="16"/>
  <c r="N12" i="16"/>
  <c r="E13" i="16"/>
  <c r="F13" i="16"/>
  <c r="G13" i="16"/>
  <c r="H13" i="16"/>
  <c r="I13" i="16"/>
  <c r="J13" i="16"/>
  <c r="K13" i="16"/>
  <c r="L13" i="16"/>
  <c r="M13" i="16"/>
  <c r="N13" i="16"/>
  <c r="U46" i="38" l="1"/>
  <c r="U45" i="38"/>
  <c r="V9" i="16"/>
  <c r="E37" i="16" l="1"/>
  <c r="F37" i="16" l="1"/>
  <c r="G37" i="16"/>
  <c r="H37" i="16"/>
  <c r="I37" i="16"/>
  <c r="J37" i="16"/>
  <c r="K37" i="16"/>
  <c r="L37" i="16"/>
  <c r="M37" i="16"/>
  <c r="N37" i="16"/>
  <c r="O37" i="16"/>
  <c r="P37" i="16"/>
  <c r="Q37" i="16"/>
  <c r="R37" i="16"/>
  <c r="S37" i="16"/>
  <c r="F38" i="16"/>
  <c r="G38" i="16"/>
  <c r="H38" i="16"/>
  <c r="I38" i="16"/>
  <c r="J38" i="16"/>
  <c r="K38" i="16"/>
  <c r="L38" i="16"/>
  <c r="M38" i="16"/>
  <c r="N38" i="16"/>
  <c r="O38" i="16"/>
  <c r="P38" i="16"/>
  <c r="Q38" i="16"/>
  <c r="R38" i="16"/>
  <c r="S38" i="16"/>
  <c r="F39" i="16"/>
  <c r="G39" i="16"/>
  <c r="H39" i="16"/>
  <c r="I39" i="16"/>
  <c r="J39" i="16"/>
  <c r="K39" i="16"/>
  <c r="L39" i="16"/>
  <c r="M39" i="16"/>
  <c r="N39" i="16"/>
  <c r="O39" i="16"/>
  <c r="P39" i="16"/>
  <c r="Q39" i="16"/>
  <c r="R39" i="16"/>
  <c r="S39" i="16"/>
  <c r="F40" i="16"/>
  <c r="G40" i="16"/>
  <c r="H40" i="16"/>
  <c r="I40" i="16"/>
  <c r="J40" i="16"/>
  <c r="K40" i="16"/>
  <c r="L40" i="16"/>
  <c r="M40" i="16"/>
  <c r="N40" i="16"/>
  <c r="O40" i="16"/>
  <c r="P40" i="16"/>
  <c r="Q40" i="16"/>
  <c r="R40" i="16"/>
  <c r="S40" i="16"/>
  <c r="E40" i="16"/>
  <c r="E39" i="16"/>
  <c r="E38" i="16"/>
  <c r="T37" i="16" l="1"/>
  <c r="T40" i="16"/>
  <c r="T38" i="16"/>
  <c r="T39" i="16"/>
  <c r="R33" i="16" l="1"/>
  <c r="P33" i="16"/>
  <c r="S33" i="16"/>
  <c r="O33" i="16"/>
  <c r="Q33" i="16"/>
  <c r="R35" i="16"/>
  <c r="O35" i="16"/>
  <c r="Q35" i="16"/>
  <c r="P35" i="16"/>
  <c r="S35" i="16"/>
  <c r="P21" i="16" l="1"/>
  <c r="V14" i="16"/>
  <c r="V15" i="16"/>
  <c r="Q21" i="16" l="1"/>
  <c r="S21" i="16"/>
  <c r="O21" i="16"/>
  <c r="R21" i="16"/>
  <c r="Q25" i="16"/>
  <c r="O25" i="16"/>
  <c r="R25" i="16"/>
  <c r="S25" i="16"/>
  <c r="P25" i="16"/>
  <c r="H14" i="26"/>
  <c r="I33" i="26" s="1"/>
  <c r="AJ41" i="26"/>
  <c r="AA33" i="26"/>
  <c r="B39" i="16" l="1"/>
  <c r="C40" i="16" s="1"/>
  <c r="B37" i="16"/>
  <c r="C37" i="16" s="1"/>
  <c r="B35" i="16"/>
  <c r="C35" i="16" s="1"/>
  <c r="B33" i="16"/>
  <c r="C34" i="16" s="1"/>
  <c r="B31" i="16"/>
  <c r="C32" i="16" s="1"/>
  <c r="B29" i="16"/>
  <c r="C29" i="16" s="1"/>
  <c r="B27" i="16"/>
  <c r="C27" i="16" s="1"/>
  <c r="B25" i="16"/>
  <c r="C25" i="16" s="1"/>
  <c r="B23" i="16"/>
  <c r="C23" i="16" s="1"/>
  <c r="B21" i="16"/>
  <c r="C22" i="16" s="1"/>
  <c r="I14" i="26" l="1"/>
  <c r="C21" i="16"/>
  <c r="C39" i="16"/>
  <c r="C31" i="16"/>
  <c r="C24" i="16"/>
  <c r="Q22" i="16"/>
  <c r="S22" i="16"/>
  <c r="Q34" i="16"/>
  <c r="O36" i="16"/>
  <c r="R34" i="16"/>
  <c r="S34" i="16"/>
  <c r="S36" i="16"/>
  <c r="P36" i="16"/>
  <c r="R22" i="16"/>
  <c r="P34" i="16"/>
  <c r="P22" i="16"/>
  <c r="O22" i="16"/>
  <c r="O34" i="16"/>
  <c r="Q36" i="16"/>
  <c r="R36" i="16"/>
  <c r="Q26" i="16"/>
  <c r="R26" i="16"/>
  <c r="O26" i="16"/>
  <c r="P26" i="16"/>
  <c r="S26" i="16"/>
  <c r="C33" i="16"/>
  <c r="C38" i="16"/>
  <c r="C36" i="16"/>
  <c r="C30" i="16"/>
  <c r="C28" i="16"/>
  <c r="C26" i="16"/>
  <c r="T10" i="16" l="1"/>
  <c r="I34" i="26"/>
  <c r="R27" i="16"/>
  <c r="O28" i="16"/>
  <c r="R28" i="16"/>
  <c r="S28" i="16"/>
  <c r="O27" i="16"/>
  <c r="P27" i="16"/>
  <c r="P28" i="16"/>
  <c r="S27" i="16"/>
  <c r="Q28" i="16"/>
  <c r="Q27" i="16"/>
  <c r="O32" i="16" l="1"/>
  <c r="Q32" i="16"/>
  <c r="Q31" i="16"/>
  <c r="R32" i="16"/>
  <c r="P32" i="16"/>
  <c r="P31" i="16"/>
  <c r="R31" i="16"/>
  <c r="S32" i="16"/>
  <c r="O31" i="16"/>
  <c r="S31" i="16"/>
  <c r="Q24" i="16"/>
  <c r="P24" i="16"/>
  <c r="Q23" i="16"/>
  <c r="O23" i="16"/>
  <c r="S23" i="16"/>
  <c r="P23" i="16"/>
  <c r="O24" i="16"/>
  <c r="S24" i="16"/>
  <c r="R24" i="16"/>
  <c r="R23" i="16"/>
  <c r="F29" i="16" l="1"/>
  <c r="M30" i="16"/>
  <c r="O29" i="16"/>
  <c r="O42" i="16" s="1"/>
  <c r="R29" i="16"/>
  <c r="P29" i="16"/>
  <c r="Q29" i="16"/>
  <c r="S30" i="16"/>
  <c r="P30" i="16"/>
  <c r="R30" i="16"/>
  <c r="O30" i="16"/>
  <c r="O43" i="16" s="1"/>
  <c r="Q30" i="16"/>
  <c r="S29" i="16"/>
  <c r="N30" i="16" l="1"/>
  <c r="I30" i="16"/>
  <c r="E30" i="16"/>
  <c r="G29" i="16"/>
  <c r="K30" i="16"/>
  <c r="G30" i="16"/>
  <c r="L30" i="16"/>
  <c r="F30" i="16"/>
  <c r="H30" i="16"/>
  <c r="J30" i="16"/>
  <c r="H29" i="16"/>
  <c r="K29" i="16"/>
  <c r="J29" i="16"/>
  <c r="N29" i="16"/>
  <c r="E29" i="16"/>
  <c r="I29" i="16"/>
  <c r="L29" i="16"/>
  <c r="M29" i="16"/>
  <c r="E36" i="16"/>
  <c r="K36" i="16"/>
  <c r="G22" i="16"/>
  <c r="N34" i="16"/>
  <c r="N36" i="16"/>
  <c r="N22" i="16"/>
  <c r="G34" i="16"/>
  <c r="F26" i="16"/>
  <c r="E26" i="16"/>
  <c r="G26" i="16"/>
  <c r="H22" i="16"/>
  <c r="J34" i="16"/>
  <c r="G36" i="16"/>
  <c r="F34" i="16"/>
  <c r="E34" i="16"/>
  <c r="L36" i="16"/>
  <c r="M34" i="16"/>
  <c r="F36" i="16"/>
  <c r="H26" i="16"/>
  <c r="M22" i="16"/>
  <c r="K34" i="16"/>
  <c r="E22" i="16"/>
  <c r="J26" i="16"/>
  <c r="K22" i="16"/>
  <c r="H34" i="16"/>
  <c r="L22" i="16"/>
  <c r="L34" i="16"/>
  <c r="I36" i="16"/>
  <c r="I22" i="16"/>
  <c r="J36" i="16"/>
  <c r="I34" i="16"/>
  <c r="H36" i="16"/>
  <c r="M26" i="16"/>
  <c r="I26" i="16"/>
  <c r="J22" i="16"/>
  <c r="K26" i="16"/>
  <c r="M36" i="16"/>
  <c r="F22" i="16"/>
  <c r="N26" i="16"/>
  <c r="L26" i="16"/>
  <c r="I24" i="16"/>
  <c r="F28" i="16"/>
  <c r="L28" i="16"/>
  <c r="E28" i="16"/>
  <c r="K28" i="16"/>
  <c r="M28" i="16"/>
  <c r="N28" i="16"/>
  <c r="G28" i="16"/>
  <c r="H28" i="16"/>
  <c r="J28" i="16"/>
  <c r="I28" i="16"/>
  <c r="H32" i="16"/>
  <c r="M32" i="16"/>
  <c r="N24" i="16"/>
  <c r="H24" i="16"/>
  <c r="E24" i="16"/>
  <c r="M24" i="16"/>
  <c r="J32" i="16"/>
  <c r="K32" i="16"/>
  <c r="G32" i="16"/>
  <c r="L32" i="16"/>
  <c r="G24" i="16"/>
  <c r="I32" i="16"/>
  <c r="K24" i="16"/>
  <c r="N32" i="16"/>
  <c r="F32" i="16"/>
  <c r="L24" i="16"/>
  <c r="J24" i="16"/>
  <c r="F24" i="16"/>
  <c r="E32" i="16"/>
  <c r="E35" i="16"/>
  <c r="I33" i="16"/>
  <c r="F33" i="16"/>
  <c r="N35" i="16"/>
  <c r="N33" i="16"/>
  <c r="G33" i="16"/>
  <c r="I35" i="16"/>
  <c r="K35" i="16"/>
  <c r="G35" i="16"/>
  <c r="E33" i="16"/>
  <c r="H35" i="16"/>
  <c r="K33" i="16"/>
  <c r="H33" i="16"/>
  <c r="L33" i="16"/>
  <c r="J33" i="16"/>
  <c r="L35" i="16"/>
  <c r="J35" i="16"/>
  <c r="M33" i="16"/>
  <c r="F35" i="16"/>
  <c r="M35" i="16"/>
  <c r="H21" i="16"/>
  <c r="I21" i="16"/>
  <c r="H25" i="16"/>
  <c r="E25" i="16"/>
  <c r="J25" i="16"/>
  <c r="L25" i="16"/>
  <c r="F21" i="16"/>
  <c r="G21" i="16"/>
  <c r="I25" i="16"/>
  <c r="G25" i="16"/>
  <c r="M25" i="16"/>
  <c r="L21" i="16"/>
  <c r="J21" i="16"/>
  <c r="N21" i="16"/>
  <c r="E21" i="16"/>
  <c r="K25" i="16"/>
  <c r="N25" i="16"/>
  <c r="K21" i="16"/>
  <c r="M21" i="16"/>
  <c r="F25" i="16"/>
  <c r="E27" i="16"/>
  <c r="N27" i="16"/>
  <c r="F27" i="16"/>
  <c r="J27" i="16"/>
  <c r="L27" i="16"/>
  <c r="I27" i="16"/>
  <c r="G27" i="16"/>
  <c r="M27" i="16"/>
  <c r="H27" i="16"/>
  <c r="K27" i="16"/>
  <c r="E31" i="16"/>
  <c r="G31" i="16"/>
  <c r="N31" i="16"/>
  <c r="I23" i="16"/>
  <c r="K23" i="16"/>
  <c r="G23" i="16"/>
  <c r="H23" i="16"/>
  <c r="F23" i="16"/>
  <c r="J31" i="16"/>
  <c r="M23" i="16"/>
  <c r="L23" i="16"/>
  <c r="N23" i="16"/>
  <c r="M31" i="16"/>
  <c r="H31" i="16"/>
  <c r="F31" i="16"/>
  <c r="K31" i="16"/>
  <c r="J23" i="16"/>
  <c r="L31" i="16"/>
  <c r="I31" i="16"/>
  <c r="E23" i="16"/>
  <c r="O45" i="16"/>
  <c r="T30" i="16" l="1"/>
  <c r="T29" i="16"/>
  <c r="N43" i="16"/>
  <c r="M42" i="16"/>
  <c r="N42" i="16"/>
  <c r="M43" i="16"/>
  <c r="T23" i="16"/>
  <c r="T26" i="16"/>
  <c r="T36" i="16"/>
  <c r="T27" i="16"/>
  <c r="T35" i="16"/>
  <c r="T24" i="16"/>
  <c r="T28" i="16"/>
  <c r="T25" i="16"/>
  <c r="T34" i="16"/>
  <c r="T33" i="16"/>
  <c r="T31" i="16"/>
  <c r="T21" i="16"/>
  <c r="T32" i="16"/>
  <c r="T22" i="16"/>
  <c r="E42" i="16"/>
  <c r="V10" i="16"/>
  <c r="V11" i="16"/>
  <c r="V12" i="16"/>
  <c r="V13" i="16"/>
  <c r="N45" i="16" l="1"/>
  <c r="M45" i="16"/>
  <c r="P42" i="16"/>
  <c r="T17" i="16" l="1"/>
  <c r="U9" i="16" s="1"/>
  <c r="U14" i="16" l="1"/>
  <c r="U15" i="16"/>
  <c r="U12" i="16"/>
  <c r="U13" i="16"/>
  <c r="U11" i="16"/>
  <c r="U10" i="16"/>
  <c r="U17" i="16" l="1"/>
  <c r="H42" i="16" l="1"/>
  <c r="I42" i="16"/>
  <c r="Q42" i="16"/>
  <c r="L42" i="16"/>
  <c r="S42" i="16"/>
  <c r="G42" i="16"/>
  <c r="R42" i="16"/>
  <c r="K42" i="16"/>
  <c r="F42" i="16"/>
  <c r="J42" i="16"/>
  <c r="H43" i="16" l="1"/>
  <c r="H45" i="16" s="1"/>
  <c r="S43" i="16"/>
  <c r="S45" i="16" s="1"/>
  <c r="R43" i="16"/>
  <c r="R45" i="16" s="1"/>
  <c r="J43" i="16"/>
  <c r="J45" i="16" s="1"/>
  <c r="Q43" i="16"/>
  <c r="Q45" i="16" s="1"/>
  <c r="I43" i="16"/>
  <c r="I45" i="16" s="1"/>
  <c r="P43" i="16"/>
  <c r="P45" i="16" s="1"/>
  <c r="G43" i="16"/>
  <c r="G45" i="16" s="1"/>
  <c r="T42" i="16"/>
  <c r="L43" i="16"/>
  <c r="L45" i="16" s="1"/>
  <c r="F43" i="16"/>
  <c r="F45" i="16" s="1"/>
  <c r="K43" i="16"/>
  <c r="K45" i="16" s="1"/>
  <c r="E43" i="16"/>
  <c r="E45" i="16" s="1"/>
  <c r="T45" i="16" l="1"/>
  <c r="T43" i="16"/>
  <c r="E46" i="16" l="1"/>
  <c r="O46" i="16"/>
  <c r="N46" i="16"/>
  <c r="M46" i="16"/>
  <c r="U40" i="16"/>
  <c r="U39" i="16"/>
  <c r="U26" i="16"/>
  <c r="U30" i="16"/>
  <c r="U32" i="16"/>
  <c r="U34" i="16"/>
  <c r="U38" i="16"/>
  <c r="U25" i="16"/>
  <c r="U27" i="16"/>
  <c r="U29" i="16"/>
  <c r="U31" i="16"/>
  <c r="U33" i="16"/>
  <c r="U35" i="16"/>
  <c r="U37" i="16"/>
  <c r="U28" i="16"/>
  <c r="U36" i="16"/>
  <c r="I46" i="16"/>
  <c r="J46" i="16"/>
  <c r="K46" i="16"/>
  <c r="H46" i="16"/>
  <c r="P46" i="16"/>
  <c r="Q46" i="16"/>
  <c r="R46" i="16"/>
  <c r="L46" i="16"/>
  <c r="T46" i="16"/>
  <c r="U22" i="16"/>
  <c r="S46" i="16"/>
  <c r="F46" i="16"/>
  <c r="G46" i="16"/>
  <c r="U21" i="16"/>
  <c r="U24" i="16"/>
  <c r="U23" i="16"/>
  <c r="U42" i="16" l="1"/>
  <c r="U43" i="16"/>
  <c r="U46" i="16" l="1"/>
  <c r="U45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exão10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" xr16:uid="{00000000-0015-0000-FFFF-FFFF02000000}" name="Conexão10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" xr16:uid="{00000000-0015-0000-FFFF-FFFF06000000}" name="Conexão110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" xr16:uid="{00000000-0015-0000-FFFF-FFFF08000000}" name="Conexão110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5" xr16:uid="{00000000-0015-0000-FFFF-FFFF0C000000}" name="Conexão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6" xr16:uid="{00000000-0015-0000-FFFF-FFFF0E000000}" name="Conexão11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7" xr16:uid="{00000000-0015-0000-FFFF-FFFF12000000}" name="Conexão12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8" xr16:uid="{00000000-0015-0000-FFFF-FFFF14000000}" name="Conexão12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9" xr16:uid="{00000000-0015-0000-FFFF-FFFF18000000}" name="Conexão13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0" xr16:uid="{00000000-0015-0000-FFFF-FFFF1A000000}" name="Conexão13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1" xr16:uid="{00000000-0015-0000-FFFF-FFFF1E000000}" name="Conexão14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12" xr16:uid="{BD5A3AF4-0059-465B-90E7-D90EDFB0327B}" name="Conexão14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13" xr16:uid="{00000000-0015-0000-FFFF-FFFF20000000}" name="Conexão14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14" xr16:uid="{2E680676-7199-42D5-BEFC-8EB217CA9FBE}" name="Conexão1412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15" xr16:uid="{00000000-0015-0000-FFFF-FFFF24000000}" name="Conexão15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6" xr16:uid="{00000000-0015-0000-FFFF-FFFF26000000}" name="Conexão15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7" xr16:uid="{00000000-0015-0000-FFFF-FFFF2A000000}" name="Conexão16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8" xr16:uid="{00000000-0015-0000-FFFF-FFFF2C000000}" name="Conexão16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9" xr16:uid="{00000000-0015-0000-FFFF-FFFF30000000}" name="Conexão17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0" xr16:uid="{00000000-0015-0000-FFFF-FFFF32000000}" name="Conexão17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1" xr16:uid="{00000000-0015-0000-FFFF-FFFF36000000}" name="Conexão18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2" xr16:uid="{00000000-0015-0000-FFFF-FFFF38000000}" name="Conexão18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3" xr16:uid="{00000000-0015-0000-FFFF-FFFF3C000000}" name="Conexão19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4" xr16:uid="{00000000-0015-0000-FFFF-FFFF3E000000}" name="Conexão19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5" xr16:uid="{00000000-0015-0000-FFFF-FFFF42000000}" name="Conexão20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6" xr16:uid="{00000000-0015-0000-FFFF-FFFF44000000}" name="Conexão20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7" xr16:uid="{00000000-0015-0000-FFFF-FFFF48000000}" name="Conexão2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8" xr16:uid="{00000000-0015-0000-FFFF-FFFF4A000000}" name="Conexão2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9" xr16:uid="{00000000-0015-0000-FFFF-FFFF4E000000}" name="Conexão22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0" xr16:uid="{00000000-0015-0000-FFFF-FFFF50000000}" name="Conexão22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1" xr16:uid="{00000000-0015-0000-FFFF-FFFF54000000}" name="Conexão3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2" xr16:uid="{00000000-0015-0000-FFFF-FFFF56000000}" name="Conexão3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3" xr16:uid="{00000000-0015-0000-FFFF-FFFF5A000000}" name="Conexão4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4" xr16:uid="{00000000-0015-0000-FFFF-FFFF5C000000}" name="Conexão4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5" xr16:uid="{00000000-0015-0000-FFFF-FFFF60000000}" name="Conexão5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6" xr16:uid="{00000000-0015-0000-FFFF-FFFF62000000}" name="Conexão5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7" xr16:uid="{00000000-0015-0000-FFFF-FFFF66000000}" name="Conexão6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38" xr16:uid="{4508C1BD-D5BD-45F4-9D6C-B4D603C60240}" name="Conexão6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39" xr16:uid="{00000000-0015-0000-FFFF-FFFF68000000}" name="Conexão6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40" xr16:uid="{912F6A90-4EDD-4456-99D7-8E9F187E4989}" name="Conexão612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41" xr16:uid="{00000000-0015-0000-FFFF-FFFF6C000000}" name="Conexão7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42" xr16:uid="{AF03B4D0-121C-4E25-8D18-D8296C8EDD62}" name="Conexão7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43" xr16:uid="{00000000-0015-0000-FFFF-FFFF6E000000}" name="Conexão7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44" xr16:uid="{8228DA3D-B128-46AD-B7FD-5E0410B8B40F}" name="Conexão712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45" xr16:uid="{00000000-0015-0000-FFFF-FFFF72000000}" name="Conexão8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6" xr16:uid="{00000000-0015-0000-FFFF-FFFF74000000}" name="Conexão8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7" xr16:uid="{00000000-0015-0000-FFFF-FFFF78000000}" name="Conexão9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8" xr16:uid="{00000000-0015-0000-FFFF-FFFF7A000000}" name="Conexão9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</connections>
</file>

<file path=xl/sharedStrings.xml><?xml version="1.0" encoding="utf-8"?>
<sst xmlns="http://schemas.openxmlformats.org/spreadsheetml/2006/main" count="300" uniqueCount="90">
  <si>
    <t xml:space="preserve">Local: </t>
  </si>
  <si>
    <t>Projeto:</t>
  </si>
  <si>
    <t>C.P.M.</t>
  </si>
  <si>
    <t>CRONOGRAMA FÍSICO FINANCEIRO</t>
  </si>
  <si>
    <t>GRUPO</t>
  </si>
  <si>
    <t>% S/</t>
  </si>
  <si>
    <t>Controle</t>
  </si>
  <si>
    <t>ITEM</t>
  </si>
  <si>
    <t>ITEM (R$)</t>
  </si>
  <si>
    <t>COMPOSIÇÃO DO FINANCIAMENTO</t>
  </si>
  <si>
    <t>PARCELAS</t>
  </si>
  <si>
    <t>FINANCIAMENTO</t>
  </si>
  <si>
    <t>R$</t>
  </si>
  <si>
    <t>CONTRAPARTIDA</t>
  </si>
  <si>
    <t>SUB-</t>
  </si>
  <si>
    <t>Resp. Técnico:</t>
  </si>
  <si>
    <t>SERVIÇOS</t>
  </si>
  <si>
    <t>UNID</t>
  </si>
  <si>
    <t>QUANT</t>
  </si>
  <si>
    <t>TOTAL</t>
  </si>
  <si>
    <t>TOTAIS</t>
  </si>
  <si>
    <t>Município:</t>
  </si>
  <si>
    <t>Local:</t>
  </si>
  <si>
    <t>DESCRIÇÃO DOS SERVIÇOS</t>
  </si>
  <si>
    <t>PREÇO (R$)</t>
  </si>
  <si>
    <t>(a)</t>
  </si>
  <si>
    <t>1.1</t>
  </si>
  <si>
    <t>2.1</t>
  </si>
  <si>
    <t>PREÇO GLOBAL SEM BDI</t>
  </si>
  <si>
    <t>BDI</t>
  </si>
  <si>
    <t>PREÇO GLOBAL COM BDI</t>
  </si>
  <si>
    <t>EXECUTADO</t>
  </si>
  <si>
    <t>TOTAL SUBITEM</t>
  </si>
  <si>
    <t>____________________________________</t>
  </si>
  <si>
    <t>DESCONTO EMPRESA</t>
  </si>
  <si>
    <t>SUBTOTAL</t>
  </si>
  <si>
    <t>UNITÁRIO
(b)</t>
  </si>
  <si>
    <t>PARCIAL
(c = a . b)</t>
  </si>
  <si>
    <t>LICITAÇÃO</t>
  </si>
  <si>
    <t>PARCIAL COM BDI</t>
  </si>
  <si>
    <t>S1</t>
  </si>
  <si>
    <t>S2</t>
  </si>
  <si>
    <t>MEDIÇÃO</t>
  </si>
  <si>
    <t>DATA</t>
  </si>
  <si>
    <t>ACUMULADOS</t>
  </si>
  <si>
    <t>MEDIÇÕES</t>
  </si>
  <si>
    <t>ITENS</t>
  </si>
  <si>
    <t>SANTA TEREZA DO OESTE / PR</t>
  </si>
  <si>
    <t>M2</t>
  </si>
  <si>
    <t>Data:</t>
  </si>
  <si>
    <t>CÓDIGOS SINAPI / DER / ITAIPU</t>
  </si>
  <si>
    <t>Pref. Municipal:</t>
  </si>
  <si>
    <t>SEPLAN</t>
  </si>
  <si>
    <t>SECRETARIA DE PLANEJAMENTO</t>
  </si>
  <si>
    <t>ADEQUAÇÃO DE ESTRADA RURAL</t>
  </si>
  <si>
    <t>PLANILHA DE SERVIÇOS - ADEQUAÇÃO DE ESTRADA RURAL</t>
  </si>
  <si>
    <t>100576</t>
  </si>
  <si>
    <t>REGULARIZAÇÃO E COMPACTAÇÃO DE SUBLEITO DE SOLO  PREDOMINANTEMENTE ARGILOSO. AF_11/2019</t>
  </si>
  <si>
    <t>M3</t>
  </si>
  <si>
    <t>ESCAVAÇÃO MECANIZADA</t>
  </si>
  <si>
    <t>SEMANAL PREVISTO EM %</t>
  </si>
  <si>
    <t>SEMANAL MENSAL PREVISTO</t>
  </si>
  <si>
    <t>PARCELAS SEMANAIS (%)</t>
  </si>
  <si>
    <t>3.1</t>
  </si>
  <si>
    <t>4.1</t>
  </si>
  <si>
    <t>5.1</t>
  </si>
  <si>
    <t>6.1</t>
  </si>
  <si>
    <t>ESTRADA RURAIS</t>
  </si>
  <si>
    <t>ESTRADA PINHALZINHO</t>
  </si>
  <si>
    <t>ESTRADA SÍTIO BAHIA TRECHO 01</t>
  </si>
  <si>
    <t>ESTRADA SÍTIO BAHIA TRECHO 02</t>
  </si>
  <si>
    <t>101233</t>
  </si>
  <si>
    <t>ESCAVAÇÃO VERTICAL PARA INFRAESTRUTURA, COM CARGA, DESCARGA E TRANSPORTE DE SOLO DE 1ª CATEGORIA, COM ESCAVADEIRA HIDRÁULICA (CAÇAMBA: 1,2 M³ / 155 HP), FROTA DE 3 CAMINHÕES BASCULANTES DE 18 M³, DMT ATÉ 1 KM E VELOCIDADE MÉDIA14 KM/H. AF_05/2020</t>
  </si>
  <si>
    <t>S3</t>
  </si>
  <si>
    <t>S4</t>
  </si>
  <si>
    <t>S6</t>
  </si>
  <si>
    <t>LIMPEZA MECANIZADA DE CAMADA VEGETAL, VEGETAÇÃO E PEQUENAS ÁRVORES (DIÂMETRO DE TRONCO MENOR QUE 0,20 M), COM TRATOR DE ESTEIRAS. AF_03/2024</t>
  </si>
  <si>
    <t>98525</t>
  </si>
  <si>
    <t>ITAIPU</t>
  </si>
  <si>
    <t>REGULARIZAÇÃO E COMPACTAÇÃO DE SUBLEITO</t>
  </si>
  <si>
    <t>DATA BASE</t>
  </si>
  <si>
    <t>03-2024</t>
  </si>
  <si>
    <t>6.2</t>
  </si>
  <si>
    <t>S7</t>
  </si>
  <si>
    <t>7.1</t>
  </si>
  <si>
    <t>103689</t>
  </si>
  <si>
    <t>FORNECIMENTO E INSTALAÇÃO DE PLACA DE OBRA COM CHAPA GALVANIZADA E ESTRUTURA DE MADEIRA 3x2,4M. AF_03/2022_PS</t>
  </si>
  <si>
    <t>PLACA DE OBRA</t>
  </si>
  <si>
    <t>ELIZEU R. M MATTE</t>
  </si>
  <si>
    <t>ENG. CIVIL - CREA PR-129.586/D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</si>
</sst>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;\-&quot;R$&quot;#,##0.00"/>
    <numFmt numFmtId="165" formatCode="_(* #,##0.00_);_(* \(#,##0.00\);_(* &quot;-&quot;??_);_(@_)"/>
    <numFmt numFmtId="166" formatCode="0.0000"/>
  </numFmts>
  <fonts count="24" x14ac:knownFonts="1"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sz val="8"/>
      <color indexed="12"/>
      <name val="Arial"/>
      <family val="2"/>
    </font>
    <font>
      <sz val="8"/>
      <color indexed="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8">
    <xf numFmtId="0" fontId="0" fillId="0" borderId="0" xfId="0"/>
    <xf numFmtId="10" fontId="4" fillId="0" borderId="1" xfId="3" applyNumberFormat="1" applyFont="1" applyFill="1" applyBorder="1" applyProtection="1"/>
    <xf numFmtId="10" fontId="5" fillId="0" borderId="2" xfId="3" applyNumberFormat="1" applyFont="1" applyFill="1" applyBorder="1" applyProtection="1"/>
    <xf numFmtId="9" fontId="5" fillId="0" borderId="3" xfId="3" applyFont="1" applyFill="1" applyBorder="1" applyProtection="1"/>
    <xf numFmtId="10" fontId="5" fillId="0" borderId="4" xfId="3" applyNumberFormat="1" applyFont="1" applyFill="1" applyBorder="1" applyProtection="1"/>
    <xf numFmtId="9" fontId="15" fillId="0" borderId="5" xfId="3" applyFont="1" applyFill="1" applyBorder="1" applyProtection="1"/>
    <xf numFmtId="10" fontId="15" fillId="0" borderId="6" xfId="3" applyNumberFormat="1" applyFont="1" applyFill="1" applyBorder="1" applyProtection="1"/>
    <xf numFmtId="9" fontId="15" fillId="0" borderId="7" xfId="3" applyFont="1" applyFill="1" applyBorder="1" applyProtection="1"/>
    <xf numFmtId="0" fontId="9" fillId="0" borderId="14" xfId="2" applyFont="1" applyBorder="1" applyAlignment="1">
      <alignment horizontal="centerContinuous"/>
    </xf>
    <xf numFmtId="0" fontId="4" fillId="0" borderId="14" xfId="2" quotePrefix="1" applyFont="1" applyBorder="1" applyAlignment="1">
      <alignment horizontal="left"/>
    </xf>
    <xf numFmtId="0" fontId="2" fillId="0" borderId="14" xfId="2" applyBorder="1"/>
    <xf numFmtId="0" fontId="2" fillId="0" borderId="0" xfId="2" applyProtection="1">
      <protection locked="0"/>
    </xf>
    <xf numFmtId="0" fontId="10" fillId="0" borderId="26" xfId="2" applyFont="1" applyBorder="1" applyAlignment="1">
      <alignment horizontal="left"/>
    </xf>
    <xf numFmtId="0" fontId="3" fillId="0" borderId="27" xfId="2" applyFont="1" applyBorder="1" applyAlignment="1">
      <alignment horizontal="left"/>
    </xf>
    <xf numFmtId="0" fontId="2" fillId="0" borderId="27" xfId="2" applyBorder="1"/>
    <xf numFmtId="0" fontId="2" fillId="0" borderId="16" xfId="2" applyBorder="1"/>
    <xf numFmtId="0" fontId="3" fillId="0" borderId="27" xfId="2" applyFont="1" applyBorder="1"/>
    <xf numFmtId="0" fontId="10" fillId="0" borderId="29" xfId="2" applyFont="1" applyBorder="1" applyAlignment="1">
      <alignment horizontal="left"/>
    </xf>
    <xf numFmtId="0" fontId="3" fillId="0" borderId="30" xfId="2" applyFont="1" applyBorder="1"/>
    <xf numFmtId="0" fontId="3" fillId="0" borderId="30" xfId="2" applyFont="1" applyBorder="1" applyAlignment="1">
      <alignment horizontal="left"/>
    </xf>
    <xf numFmtId="49" fontId="3" fillId="0" borderId="30" xfId="2" applyNumberFormat="1" applyFont="1" applyBorder="1" applyAlignment="1">
      <alignment horizontal="center"/>
    </xf>
    <xf numFmtId="0" fontId="2" fillId="0" borderId="30" xfId="2" applyBorder="1"/>
    <xf numFmtId="0" fontId="7" fillId="0" borderId="31" xfId="2" applyFont="1" applyBorder="1" applyAlignment="1">
      <alignment horizontal="centerContinuous"/>
    </xf>
    <xf numFmtId="0" fontId="8" fillId="0" borderId="0" xfId="2" applyFont="1" applyAlignment="1">
      <alignment horizontal="centerContinuous"/>
    </xf>
    <xf numFmtId="0" fontId="8" fillId="0" borderId="32" xfId="2" applyFont="1" applyBorder="1" applyAlignment="1">
      <alignment horizontal="centerContinuous"/>
    </xf>
    <xf numFmtId="0" fontId="11" fillId="0" borderId="33" xfId="2" applyFont="1" applyBorder="1" applyAlignment="1">
      <alignment horizontal="center"/>
    </xf>
    <xf numFmtId="0" fontId="11" fillId="0" borderId="25" xfId="2" applyFont="1" applyBorder="1" applyAlignment="1">
      <alignment horizontal="centerContinuous"/>
    </xf>
    <xf numFmtId="0" fontId="12" fillId="0" borderId="24" xfId="2" applyFont="1" applyBorder="1" applyAlignment="1">
      <alignment textRotation="180"/>
    </xf>
    <xf numFmtId="0" fontId="11" fillId="0" borderId="16" xfId="2" applyFont="1" applyBorder="1" applyAlignment="1">
      <alignment horizontal="centerContinuous"/>
    </xf>
    <xf numFmtId="0" fontId="11" fillId="0" borderId="27" xfId="2" applyFont="1" applyBorder="1" applyAlignment="1">
      <alignment horizontal="centerContinuous"/>
    </xf>
    <xf numFmtId="0" fontId="11" fillId="0" borderId="17" xfId="2" applyFont="1" applyBorder="1" applyAlignment="1">
      <alignment horizontal="centerContinuous"/>
    </xf>
    <xf numFmtId="0" fontId="11" fillId="0" borderId="24" xfId="2" applyFont="1" applyBorder="1" applyAlignment="1">
      <alignment horizontal="center"/>
    </xf>
    <xf numFmtId="0" fontId="11" fillId="0" borderId="34" xfId="2" applyFont="1" applyBorder="1" applyAlignment="1">
      <alignment horizontal="center"/>
    </xf>
    <xf numFmtId="0" fontId="11" fillId="0" borderId="35" xfId="2" applyFont="1" applyBorder="1" applyAlignment="1">
      <alignment horizontal="center"/>
    </xf>
    <xf numFmtId="0" fontId="11" fillId="0" borderId="36" xfId="2" applyFont="1" applyBorder="1"/>
    <xf numFmtId="0" fontId="12" fillId="0" borderId="36" xfId="2" applyFont="1" applyBorder="1" applyAlignment="1">
      <alignment textRotation="180"/>
    </xf>
    <xf numFmtId="0" fontId="11" fillId="0" borderId="37" xfId="2" applyFont="1" applyBorder="1" applyAlignment="1">
      <alignment horizontal="center"/>
    </xf>
    <xf numFmtId="0" fontId="11" fillId="0" borderId="38" xfId="2" applyFont="1" applyBorder="1" applyAlignment="1">
      <alignment horizontal="center"/>
    </xf>
    <xf numFmtId="0" fontId="11" fillId="0" borderId="39" xfId="2" applyFont="1" applyBorder="1" applyAlignment="1">
      <alignment horizontal="center"/>
    </xf>
    <xf numFmtId="0" fontId="13" fillId="0" borderId="42" xfId="2" applyFont="1" applyBorder="1" applyAlignment="1">
      <alignment horizontal="center"/>
    </xf>
    <xf numFmtId="0" fontId="2" fillId="0" borderId="45" xfId="2" applyBorder="1"/>
    <xf numFmtId="0" fontId="2" fillId="0" borderId="46" xfId="2" applyBorder="1"/>
    <xf numFmtId="0" fontId="1" fillId="0" borderId="46" xfId="2" applyFont="1" applyBorder="1"/>
    <xf numFmtId="40" fontId="1" fillId="0" borderId="46" xfId="2" applyNumberFormat="1" applyFont="1" applyBorder="1"/>
    <xf numFmtId="0" fontId="1" fillId="0" borderId="47" xfId="2" applyFont="1" applyBorder="1"/>
    <xf numFmtId="0" fontId="2" fillId="0" borderId="48" xfId="2" applyBorder="1"/>
    <xf numFmtId="0" fontId="10" fillId="0" borderId="49" xfId="2" applyFont="1" applyBorder="1" applyAlignment="1">
      <alignment horizontal="centerContinuous"/>
    </xf>
    <xf numFmtId="0" fontId="2" fillId="0" borderId="49" xfId="2" applyBorder="1" applyAlignment="1">
      <alignment horizontal="centerContinuous"/>
    </xf>
    <xf numFmtId="0" fontId="1" fillId="0" borderId="49" xfId="2" applyFont="1" applyBorder="1"/>
    <xf numFmtId="40" fontId="15" fillId="0" borderId="6" xfId="2" applyNumberFormat="1" applyFont="1" applyBorder="1"/>
    <xf numFmtId="0" fontId="15" fillId="0" borderId="50" xfId="2" applyFont="1" applyBorder="1"/>
    <xf numFmtId="0" fontId="7" fillId="0" borderId="51" xfId="2" applyFont="1" applyBorder="1" applyAlignment="1">
      <alignment horizontal="centerContinuous"/>
    </xf>
    <xf numFmtId="0" fontId="8" fillId="0" borderId="52" xfId="2" applyFont="1" applyBorder="1" applyAlignment="1">
      <alignment horizontal="centerContinuous"/>
    </xf>
    <xf numFmtId="0" fontId="5" fillId="0" borderId="52" xfId="2" applyFont="1" applyBorder="1" applyAlignment="1">
      <alignment horizontal="centerContinuous"/>
    </xf>
    <xf numFmtId="0" fontId="5" fillId="0" borderId="53" xfId="2" applyFont="1" applyBorder="1" applyAlignment="1">
      <alignment horizontal="centerContinuous"/>
    </xf>
    <xf numFmtId="0" fontId="4" fillId="0" borderId="35" xfId="2" applyFont="1" applyBorder="1" applyAlignment="1">
      <alignment horizontal="center"/>
    </xf>
    <xf numFmtId="0" fontId="4" fillId="0" borderId="54" xfId="2" applyFont="1" applyBorder="1" applyAlignment="1">
      <alignment horizontal="center"/>
    </xf>
    <xf numFmtId="0" fontId="5" fillId="0" borderId="54" xfId="2" applyFont="1" applyBorder="1" applyAlignment="1">
      <alignment horizontal="centerContinuous"/>
    </xf>
    <xf numFmtId="0" fontId="5" fillId="0" borderId="55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4" fillId="0" borderId="56" xfId="2" applyFont="1" applyBorder="1" applyAlignment="1">
      <alignment horizontal="center"/>
    </xf>
    <xf numFmtId="0" fontId="4" fillId="0" borderId="57" xfId="2" applyFont="1" applyBorder="1" applyAlignment="1">
      <alignment horizontal="center"/>
    </xf>
    <xf numFmtId="0" fontId="5" fillId="0" borderId="57" xfId="2" applyFont="1" applyBorder="1" applyAlignment="1">
      <alignment horizontal="center"/>
    </xf>
    <xf numFmtId="0" fontId="5" fillId="0" borderId="4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44" xfId="2" applyFont="1" applyBorder="1" applyAlignment="1">
      <alignment horizontal="center"/>
    </xf>
    <xf numFmtId="0" fontId="5" fillId="0" borderId="22" xfId="2" applyFont="1" applyBorder="1"/>
    <xf numFmtId="40" fontId="5" fillId="0" borderId="22" xfId="2" applyNumberFormat="1" applyFont="1" applyBorder="1"/>
    <xf numFmtId="40" fontId="2" fillId="0" borderId="0" xfId="2" applyNumberFormat="1" applyProtection="1">
      <protection locked="0"/>
    </xf>
    <xf numFmtId="0" fontId="5" fillId="0" borderId="58" xfId="2" applyFont="1" applyBorder="1" applyAlignment="1">
      <alignment horizontal="center"/>
    </xf>
    <xf numFmtId="0" fontId="5" fillId="0" borderId="27" xfId="2" applyFont="1" applyBorder="1"/>
    <xf numFmtId="40" fontId="5" fillId="0" borderId="27" xfId="2" applyNumberFormat="1" applyFont="1" applyBorder="1"/>
    <xf numFmtId="0" fontId="5" fillId="0" borderId="59" xfId="2" applyFont="1" applyBorder="1"/>
    <xf numFmtId="0" fontId="5" fillId="0" borderId="43" xfId="2" applyFont="1" applyBorder="1"/>
    <xf numFmtId="40" fontId="5" fillId="0" borderId="43" xfId="2" applyNumberFormat="1" applyFont="1" applyBorder="1"/>
    <xf numFmtId="0" fontId="5" fillId="0" borderId="55" xfId="2" applyFont="1" applyBorder="1"/>
    <xf numFmtId="0" fontId="5" fillId="0" borderId="58" xfId="2" applyFont="1" applyBorder="1"/>
    <xf numFmtId="0" fontId="4" fillId="0" borderId="38" xfId="2" applyFont="1" applyBorder="1" applyAlignment="1">
      <alignment horizontal="centerContinuous"/>
    </xf>
    <xf numFmtId="0" fontId="4" fillId="0" borderId="38" xfId="2" applyFont="1" applyBorder="1"/>
    <xf numFmtId="40" fontId="15" fillId="0" borderId="38" xfId="2" applyNumberFormat="1" applyFont="1" applyBorder="1"/>
    <xf numFmtId="40" fontId="15" fillId="0" borderId="55" xfId="2" applyNumberFormat="1" applyFont="1" applyBorder="1"/>
    <xf numFmtId="0" fontId="4" fillId="0" borderId="6" xfId="2" applyFont="1" applyBorder="1" applyAlignment="1">
      <alignment horizontal="centerContinuous"/>
    </xf>
    <xf numFmtId="0" fontId="4" fillId="0" borderId="6" xfId="2" applyFont="1" applyBorder="1"/>
    <xf numFmtId="0" fontId="2" fillId="0" borderId="31" xfId="2" applyBorder="1" applyProtection="1">
      <protection locked="0"/>
    </xf>
    <xf numFmtId="0" fontId="4" fillId="0" borderId="31" xfId="2" applyFont="1" applyBorder="1" applyAlignment="1" applyProtection="1">
      <alignment horizontal="left" vertical="top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61" xfId="2" applyFont="1" applyBorder="1" applyAlignment="1" applyProtection="1">
      <alignment horizontal="centerContinuous" vertical="center"/>
      <protection locked="0"/>
    </xf>
    <xf numFmtId="0" fontId="4" fillId="0" borderId="0" xfId="2" applyFont="1" applyProtection="1">
      <protection locked="0"/>
    </xf>
    <xf numFmtId="0" fontId="4" fillId="0" borderId="62" xfId="2" applyFont="1" applyBorder="1" applyProtection="1">
      <protection locked="0"/>
    </xf>
    <xf numFmtId="0" fontId="4" fillId="0" borderId="63" xfId="2" applyFont="1" applyBorder="1" applyProtection="1">
      <protection locked="0"/>
    </xf>
    <xf numFmtId="0" fontId="4" fillId="0" borderId="64" xfId="2" applyFont="1" applyBorder="1" applyAlignment="1" applyProtection="1">
      <alignment horizontal="centerContinuous" vertical="center"/>
      <protection locked="0"/>
    </xf>
    <xf numFmtId="0" fontId="4" fillId="0" borderId="64" xfId="2" applyFont="1" applyBorder="1" applyProtection="1">
      <protection locked="0"/>
    </xf>
    <xf numFmtId="0" fontId="4" fillId="0" borderId="32" xfId="2" applyFont="1" applyBorder="1" applyProtection="1">
      <protection locked="0"/>
    </xf>
    <xf numFmtId="0" fontId="2" fillId="0" borderId="65" xfId="2" applyBorder="1" applyProtection="1">
      <protection locked="0"/>
    </xf>
    <xf numFmtId="0" fontId="2" fillId="0" borderId="66" xfId="2" applyBorder="1" applyProtection="1">
      <protection locked="0"/>
    </xf>
    <xf numFmtId="0" fontId="4" fillId="0" borderId="65" xfId="2" applyFont="1" applyBorder="1" applyAlignment="1" applyProtection="1">
      <alignment horizontal="centerContinuous" vertical="center" wrapText="1"/>
      <protection locked="0"/>
    </xf>
    <xf numFmtId="0" fontId="4" fillId="0" borderId="66" xfId="2" applyFont="1" applyBorder="1" applyAlignment="1" applyProtection="1">
      <alignment horizontal="centerContinuous" vertical="center" wrapText="1"/>
      <protection locked="0"/>
    </xf>
    <xf numFmtId="0" fontId="4" fillId="0" borderId="66" xfId="2" applyFont="1" applyBorder="1" applyAlignment="1" applyProtection="1">
      <alignment horizontal="centerContinuous" vertical="center"/>
      <protection locked="0"/>
    </xf>
    <xf numFmtId="0" fontId="4" fillId="0" borderId="19" xfId="2" applyFont="1" applyBorder="1" applyAlignment="1" applyProtection="1">
      <alignment horizontal="centerContinuous" vertical="center"/>
      <protection locked="0"/>
    </xf>
    <xf numFmtId="0" fontId="4" fillId="0" borderId="66" xfId="2" applyFont="1" applyBorder="1" applyAlignment="1" applyProtection="1">
      <alignment horizontal="centerContinuous"/>
      <protection locked="0"/>
    </xf>
    <xf numFmtId="17" fontId="4" fillId="0" borderId="19" xfId="2" applyNumberFormat="1" applyFont="1" applyBorder="1" applyAlignment="1" applyProtection="1">
      <alignment horizontal="center" vertical="center"/>
      <protection locked="0"/>
    </xf>
    <xf numFmtId="14" fontId="4" fillId="0" borderId="66" xfId="2" applyNumberFormat="1" applyFont="1" applyBorder="1" applyAlignment="1" applyProtection="1">
      <alignment horizontal="center" vertical="center"/>
      <protection locked="0"/>
    </xf>
    <xf numFmtId="17" fontId="4" fillId="0" borderId="66" xfId="2" applyNumberFormat="1" applyFont="1" applyBorder="1" applyAlignment="1" applyProtection="1">
      <alignment horizontal="center" vertical="center"/>
      <protection locked="0"/>
    </xf>
    <xf numFmtId="17" fontId="4" fillId="0" borderId="67" xfId="2" applyNumberFormat="1" applyFont="1" applyBorder="1" applyAlignment="1" applyProtection="1">
      <alignment horizontal="center" vertical="center"/>
      <protection locked="0"/>
    </xf>
    <xf numFmtId="0" fontId="6" fillId="0" borderId="73" xfId="2" applyFont="1" applyBorder="1" applyAlignment="1">
      <alignment horizontal="center" vertical="center" wrapText="1"/>
    </xf>
    <xf numFmtId="166" fontId="2" fillId="0" borderId="0" xfId="2" applyNumberFormat="1" applyProtection="1">
      <protection locked="0"/>
    </xf>
    <xf numFmtId="49" fontId="3" fillId="0" borderId="27" xfId="2" applyNumberFormat="1" applyFont="1" applyBorder="1" applyAlignment="1">
      <alignment horizontal="center"/>
    </xf>
    <xf numFmtId="165" fontId="2" fillId="0" borderId="0" xfId="4" applyFont="1" applyFill="1" applyProtection="1">
      <protection locked="0"/>
    </xf>
    <xf numFmtId="0" fontId="18" fillId="0" borderId="0" xfId="1" applyFont="1"/>
    <xf numFmtId="0" fontId="19" fillId="0" borderId="0" xfId="1" applyFont="1" applyAlignment="1">
      <alignment horizontal="centerContinuous" vertical="center"/>
    </xf>
    <xf numFmtId="0" fontId="20" fillId="0" borderId="0" xfId="1" applyFont="1" applyAlignment="1">
      <alignment horizontal="centerContinuous" vertical="center" wrapText="1"/>
    </xf>
    <xf numFmtId="0" fontId="18" fillId="0" borderId="0" xfId="1" applyFont="1" applyAlignment="1" applyProtection="1">
      <alignment horizontal="centerContinuous"/>
      <protection locked="0"/>
    </xf>
    <xf numFmtId="0" fontId="18" fillId="0" borderId="0" xfId="1" applyFont="1" applyAlignment="1">
      <alignment horizontal="centerContinuous"/>
    </xf>
    <xf numFmtId="0" fontId="18" fillId="2" borderId="0" xfId="1" applyFont="1" applyFill="1"/>
    <xf numFmtId="0" fontId="18" fillId="0" borderId="0" xfId="1" applyFont="1" applyAlignment="1">
      <alignment horizontal="left" vertical="center"/>
    </xf>
    <xf numFmtId="0" fontId="20" fillId="0" borderId="70" xfId="1" applyFont="1" applyBorder="1" applyAlignment="1">
      <alignment horizontal="left" vertical="center"/>
    </xf>
    <xf numFmtId="0" fontId="20" fillId="0" borderId="14" xfId="1" applyFont="1" applyBorder="1" applyAlignment="1" applyProtection="1">
      <alignment horizontal="left" vertical="center"/>
      <protection locked="0"/>
    </xf>
    <xf numFmtId="0" fontId="20" fillId="0" borderId="8" xfId="1" applyFont="1" applyBorder="1" applyAlignment="1">
      <alignment horizontal="left" vertical="center"/>
    </xf>
    <xf numFmtId="0" fontId="20" fillId="0" borderId="9" xfId="1" applyFont="1" applyBorder="1" applyAlignment="1">
      <alignment horizontal="left" vertical="center"/>
    </xf>
    <xf numFmtId="0" fontId="20" fillId="0" borderId="11" xfId="1" applyFont="1" applyBorder="1" applyAlignment="1" applyProtection="1">
      <alignment horizontal="center" wrapText="1"/>
      <protection locked="0"/>
    </xf>
    <xf numFmtId="0" fontId="20" fillId="0" borderId="13" xfId="1" applyFont="1" applyBorder="1" applyAlignment="1" applyProtection="1">
      <alignment horizontal="centerContinuous" vertical="center"/>
      <protection locked="0"/>
    </xf>
    <xf numFmtId="0" fontId="20" fillId="0" borderId="15" xfId="1" applyFont="1" applyBorder="1" applyAlignment="1">
      <alignment horizontal="centerContinuous" vertical="center"/>
    </xf>
    <xf numFmtId="0" fontId="20" fillId="0" borderId="20" xfId="1" applyFont="1" applyBorder="1" applyAlignment="1" applyProtection="1">
      <alignment horizontal="center" vertical="center" wrapText="1"/>
      <protection locked="0"/>
    </xf>
    <xf numFmtId="4" fontId="18" fillId="0" borderId="0" xfId="1" applyNumberFormat="1" applyFont="1"/>
    <xf numFmtId="4" fontId="18" fillId="2" borderId="0" xfId="1" applyNumberFormat="1" applyFont="1" applyFill="1"/>
    <xf numFmtId="0" fontId="20" fillId="0" borderId="71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center" vertical="center"/>
    </xf>
    <xf numFmtId="4" fontId="18" fillId="0" borderId="23" xfId="1" applyNumberFormat="1" applyFont="1" applyBorder="1" applyAlignment="1" applyProtection="1">
      <alignment horizontal="right" vertical="center"/>
      <protection locked="0"/>
    </xf>
    <xf numFmtId="4" fontId="18" fillId="0" borderId="23" xfId="1" applyNumberFormat="1" applyFont="1" applyBorder="1" applyAlignment="1">
      <alignment horizontal="right" vertical="center"/>
    </xf>
    <xf numFmtId="1" fontId="20" fillId="0" borderId="68" xfId="1" applyNumberFormat="1" applyFont="1" applyBorder="1" applyAlignment="1">
      <alignment horizontal="left" vertical="center"/>
    </xf>
    <xf numFmtId="0" fontId="20" fillId="0" borderId="23" xfId="1" applyFont="1" applyBorder="1" applyAlignment="1">
      <alignment vertical="center"/>
    </xf>
    <xf numFmtId="4" fontId="20" fillId="0" borderId="23" xfId="1" applyNumberFormat="1" applyFont="1" applyBorder="1" applyAlignment="1" applyProtection="1">
      <alignment horizontal="right" vertical="center"/>
      <protection locked="0"/>
    </xf>
    <xf numFmtId="4" fontId="20" fillId="0" borderId="69" xfId="1" applyNumberFormat="1" applyFont="1" applyBorder="1" applyAlignment="1">
      <alignment horizontal="right" vertical="center"/>
    </xf>
    <xf numFmtId="0" fontId="23" fillId="0" borderId="0" xfId="1" applyFont="1"/>
    <xf numFmtId="165" fontId="18" fillId="0" borderId="0" xfId="4" applyFont="1" applyFill="1"/>
    <xf numFmtId="165" fontId="18" fillId="0" borderId="0" xfId="4" applyFont="1" applyFill="1" applyBorder="1"/>
    <xf numFmtId="165" fontId="18" fillId="0" borderId="0" xfId="1" applyNumberFormat="1" applyFont="1"/>
    <xf numFmtId="2" fontId="18" fillId="0" borderId="0" xfId="1" applyNumberFormat="1" applyFont="1"/>
    <xf numFmtId="10" fontId="18" fillId="2" borderId="0" xfId="3" applyNumberFormat="1" applyFont="1" applyFill="1" applyProtection="1"/>
    <xf numFmtId="166" fontId="18" fillId="0" borderId="0" xfId="1" applyNumberFormat="1" applyFont="1"/>
    <xf numFmtId="0" fontId="18" fillId="0" borderId="0" xfId="1" applyFont="1" applyAlignment="1">
      <alignment horizontal="center"/>
    </xf>
    <xf numFmtId="0" fontId="18" fillId="0" borderId="0" xfId="1" applyFont="1" applyAlignment="1">
      <alignment horizontal="center" vertical="center"/>
    </xf>
    <xf numFmtId="0" fontId="2" fillId="2" borderId="0" xfId="1" applyFill="1" applyAlignment="1">
      <alignment horizontal="center"/>
    </xf>
    <xf numFmtId="0" fontId="21" fillId="0" borderId="30" xfId="1" applyFont="1" applyBorder="1" applyAlignment="1" applyProtection="1">
      <alignment vertical="center" wrapText="1"/>
      <protection locked="0"/>
    </xf>
    <xf numFmtId="4" fontId="3" fillId="2" borderId="55" xfId="1" applyNumberFormat="1" applyFont="1" applyFill="1" applyBorder="1" applyAlignment="1">
      <alignment horizontal="right" vertical="center"/>
    </xf>
    <xf numFmtId="4" fontId="3" fillId="2" borderId="5" xfId="1" applyNumberFormat="1" applyFont="1" applyFill="1" applyBorder="1" applyAlignment="1">
      <alignment horizontal="right" vertical="center"/>
    </xf>
    <xf numFmtId="7" fontId="3" fillId="0" borderId="69" xfId="5" applyNumberFormat="1" applyFont="1" applyFill="1" applyBorder="1" applyAlignment="1" applyProtection="1">
      <alignment horizontal="right" vertical="center"/>
    </xf>
    <xf numFmtId="0" fontId="3" fillId="0" borderId="21" xfId="1" applyFont="1" applyBorder="1" applyAlignment="1">
      <alignment horizontal="center" vertical="center" wrapText="1"/>
    </xf>
    <xf numFmtId="0" fontId="3" fillId="0" borderId="20" xfId="1" applyFont="1" applyBorder="1" applyAlignment="1" applyProtection="1">
      <alignment horizontal="center" vertical="center" wrapText="1"/>
      <protection locked="0"/>
    </xf>
    <xf numFmtId="0" fontId="3" fillId="0" borderId="20" xfId="1" applyFont="1" applyBorder="1" applyAlignment="1">
      <alignment horizontal="center" vertical="center" wrapText="1"/>
    </xf>
    <xf numFmtId="7" fontId="3" fillId="0" borderId="0" xfId="5" applyNumberFormat="1" applyFont="1" applyFill="1" applyBorder="1" applyAlignment="1" applyProtection="1">
      <alignment horizontal="right" vertical="center"/>
    </xf>
    <xf numFmtId="0" fontId="20" fillId="0" borderId="14" xfId="1" applyFont="1" applyBorder="1" applyAlignment="1" applyProtection="1">
      <alignment horizontal="center" vertical="center"/>
      <protection locked="0"/>
    </xf>
    <xf numFmtId="49" fontId="18" fillId="0" borderId="23" xfId="1" applyNumberFormat="1" applyFont="1" applyBorder="1" applyAlignment="1">
      <alignment horizontal="center" vertical="center" wrapText="1"/>
    </xf>
    <xf numFmtId="0" fontId="3" fillId="0" borderId="72" xfId="1" applyFont="1" applyBorder="1" applyAlignment="1" applyProtection="1">
      <alignment horizontal="center" vertical="center" wrapText="1"/>
      <protection locked="0"/>
    </xf>
    <xf numFmtId="0" fontId="3" fillId="0" borderId="80" xfId="1" applyFont="1" applyBorder="1" applyAlignment="1">
      <alignment horizontal="center" vertical="center" wrapText="1"/>
    </xf>
    <xf numFmtId="4" fontId="18" fillId="0" borderId="68" xfId="1" applyNumberFormat="1" applyFont="1" applyBorder="1" applyAlignment="1" applyProtection="1">
      <alignment horizontal="right" vertical="center"/>
      <protection locked="0"/>
    </xf>
    <xf numFmtId="4" fontId="3" fillId="2" borderId="76" xfId="1" applyNumberFormat="1" applyFont="1" applyFill="1" applyBorder="1" applyAlignment="1">
      <alignment horizontal="right" vertical="center"/>
    </xf>
    <xf numFmtId="4" fontId="3" fillId="2" borderId="71" xfId="1" applyNumberFormat="1" applyFont="1" applyFill="1" applyBorder="1" applyAlignment="1">
      <alignment horizontal="right" vertical="center"/>
    </xf>
    <xf numFmtId="9" fontId="18" fillId="2" borderId="68" xfId="3" applyFont="1" applyFill="1" applyBorder="1" applyAlignment="1">
      <alignment horizontal="right" vertical="center"/>
    </xf>
    <xf numFmtId="4" fontId="20" fillId="0" borderId="23" xfId="1" applyNumberFormat="1" applyFont="1" applyBorder="1" applyAlignment="1">
      <alignment horizontal="right" vertical="center"/>
    </xf>
    <xf numFmtId="0" fontId="18" fillId="2" borderId="68" xfId="1" applyFont="1" applyFill="1" applyBorder="1" applyAlignment="1">
      <alignment horizontal="right" vertical="center"/>
    </xf>
    <xf numFmtId="0" fontId="18" fillId="2" borderId="69" xfId="1" applyFont="1" applyFill="1" applyBorder="1" applyAlignment="1">
      <alignment horizontal="right" vertical="center"/>
    </xf>
    <xf numFmtId="0" fontId="2" fillId="2" borderId="84" xfId="1" applyFill="1" applyBorder="1" applyAlignment="1">
      <alignment horizontal="center" vertical="center"/>
    </xf>
    <xf numFmtId="0" fontId="2" fillId="2" borderId="81" xfId="1" applyFill="1" applyBorder="1" applyAlignment="1">
      <alignment horizontal="center" vertical="center"/>
    </xf>
    <xf numFmtId="0" fontId="22" fillId="2" borderId="44" xfId="1" applyFont="1" applyFill="1" applyBorder="1" applyAlignment="1">
      <alignment horizontal="center" vertical="center"/>
    </xf>
    <xf numFmtId="0" fontId="22" fillId="2" borderId="72" xfId="1" applyFont="1" applyFill="1" applyBorder="1" applyAlignment="1">
      <alignment horizontal="center" vertical="center"/>
    </xf>
    <xf numFmtId="0" fontId="22" fillId="2" borderId="80" xfId="1" applyFont="1" applyFill="1" applyBorder="1" applyAlignment="1">
      <alignment horizontal="center" vertical="center" wrapText="1"/>
    </xf>
    <xf numFmtId="0" fontId="3" fillId="0" borderId="82" xfId="1" applyFont="1" applyBorder="1" applyAlignment="1">
      <alignment vertical="center"/>
    </xf>
    <xf numFmtId="0" fontId="22" fillId="2" borderId="80" xfId="1" applyFont="1" applyFill="1" applyBorder="1" applyAlignment="1">
      <alignment horizontal="center" vertical="center"/>
    </xf>
    <xf numFmtId="10" fontId="4" fillId="3" borderId="28" xfId="3" applyNumberFormat="1" applyFont="1" applyFill="1" applyBorder="1" applyProtection="1"/>
    <xf numFmtId="10" fontId="4" fillId="4" borderId="28" xfId="3" applyNumberFormat="1" applyFont="1" applyFill="1" applyBorder="1" applyProtection="1"/>
    <xf numFmtId="0" fontId="13" fillId="3" borderId="40" xfId="2" applyFont="1" applyFill="1" applyBorder="1" applyAlignment="1">
      <alignment horizontal="center"/>
    </xf>
    <xf numFmtId="0" fontId="13" fillId="3" borderId="44" xfId="2" applyFont="1" applyFill="1" applyBorder="1" applyAlignment="1">
      <alignment horizontal="center"/>
    </xf>
    <xf numFmtId="9" fontId="18" fillId="3" borderId="84" xfId="3" applyFont="1" applyFill="1" applyBorder="1" applyAlignment="1" applyProtection="1">
      <alignment horizontal="right" vertical="center"/>
    </xf>
    <xf numFmtId="4" fontId="20" fillId="4" borderId="81" xfId="1" applyNumberFormat="1" applyFont="1" applyFill="1" applyBorder="1" applyAlignment="1">
      <alignment horizontal="right" vertical="center"/>
    </xf>
    <xf numFmtId="0" fontId="22" fillId="3" borderId="2" xfId="1" applyFont="1" applyFill="1" applyBorder="1" applyAlignment="1">
      <alignment horizontal="center" vertical="center"/>
    </xf>
    <xf numFmtId="4" fontId="18" fillId="3" borderId="22" xfId="1" applyNumberFormat="1" applyFont="1" applyFill="1" applyBorder="1" applyAlignment="1" applyProtection="1">
      <alignment horizontal="right" vertical="center"/>
      <protection locked="0"/>
    </xf>
    <xf numFmtId="4" fontId="18" fillId="4" borderId="22" xfId="1" applyNumberFormat="1" applyFont="1" applyFill="1" applyBorder="1" applyAlignment="1">
      <alignment horizontal="right" vertical="center"/>
    </xf>
    <xf numFmtId="4" fontId="18" fillId="4" borderId="2" xfId="1" applyNumberFormat="1" applyFont="1" applyFill="1" applyBorder="1" applyAlignment="1">
      <alignment horizontal="right" vertical="center"/>
    </xf>
    <xf numFmtId="0" fontId="20" fillId="0" borderId="14" xfId="1" applyFont="1" applyBorder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20" fillId="0" borderId="30" xfId="1" applyFont="1" applyBorder="1" applyAlignment="1">
      <alignment horizontal="left" vertical="center"/>
    </xf>
    <xf numFmtId="0" fontId="20" fillId="0" borderId="23" xfId="1" applyFont="1" applyBorder="1" applyAlignment="1">
      <alignment horizontal="left" vertical="center" wrapText="1"/>
    </xf>
    <xf numFmtId="1" fontId="20" fillId="0" borderId="23" xfId="1" applyNumberFormat="1" applyFont="1" applyBorder="1" applyAlignment="1">
      <alignment horizontal="left" vertical="center"/>
    </xf>
    <xf numFmtId="0" fontId="18" fillId="2" borderId="17" xfId="1" applyFont="1" applyFill="1" applyBorder="1" applyAlignment="1">
      <alignment horizontal="left" vertical="center"/>
    </xf>
    <xf numFmtId="0" fontId="6" fillId="0" borderId="74" xfId="1" applyFont="1" applyBorder="1" applyAlignment="1" applyProtection="1">
      <alignment horizontal="left" vertical="center"/>
      <protection locked="0"/>
    </xf>
    <xf numFmtId="0" fontId="2" fillId="2" borderId="44" xfId="1" applyFill="1" applyBorder="1" applyAlignment="1">
      <alignment vertical="center"/>
    </xf>
    <xf numFmtId="0" fontId="2" fillId="0" borderId="44" xfId="1" applyBorder="1" applyAlignment="1">
      <alignment vertical="center"/>
    </xf>
    <xf numFmtId="0" fontId="6" fillId="0" borderId="75" xfId="1" applyFont="1" applyBorder="1" applyAlignment="1" applyProtection="1">
      <alignment vertical="center" wrapText="1"/>
      <protection locked="0"/>
    </xf>
    <xf numFmtId="0" fontId="7" fillId="0" borderId="0" xfId="1" applyFont="1" applyAlignment="1">
      <alignment horizontal="left" vertical="center"/>
    </xf>
    <xf numFmtId="0" fontId="2" fillId="0" borderId="14" xfId="2" quotePrefix="1" applyBorder="1" applyAlignment="1">
      <alignment horizontal="left" vertical="center" indent="3"/>
    </xf>
    <xf numFmtId="0" fontId="16" fillId="4" borderId="22" xfId="2" applyFont="1" applyFill="1" applyBorder="1" applyAlignment="1">
      <alignment vertical="center"/>
    </xf>
    <xf numFmtId="40" fontId="13" fillId="4" borderId="43" xfId="2" applyNumberFormat="1" applyFont="1" applyFill="1" applyBorder="1" applyAlignment="1" applyProtection="1">
      <alignment vertical="center"/>
      <protection locked="0"/>
    </xf>
    <xf numFmtId="2" fontId="13" fillId="4" borderId="4" xfId="2" applyNumberFormat="1" applyFont="1" applyFill="1" applyBorder="1" applyAlignment="1">
      <alignment vertical="center"/>
    </xf>
    <xf numFmtId="0" fontId="13" fillId="3" borderId="22" xfId="2" applyFont="1" applyFill="1" applyBorder="1" applyAlignment="1">
      <alignment vertical="center"/>
    </xf>
    <xf numFmtId="0" fontId="13" fillId="4" borderId="41" xfId="2" applyFont="1" applyFill="1" applyBorder="1" applyAlignment="1">
      <alignment vertical="center" wrapText="1"/>
    </xf>
    <xf numFmtId="0" fontId="14" fillId="4" borderId="22" xfId="2" applyFont="1" applyFill="1" applyBorder="1" applyAlignment="1">
      <alignment vertical="center"/>
    </xf>
    <xf numFmtId="2" fontId="13" fillId="3" borderId="42" xfId="2" applyNumberFormat="1" applyFont="1" applyFill="1" applyBorder="1" applyAlignment="1">
      <alignment vertical="center"/>
    </xf>
    <xf numFmtId="40" fontId="1" fillId="0" borderId="22" xfId="2" applyNumberFormat="1" applyFont="1" applyBorder="1"/>
    <xf numFmtId="0" fontId="18" fillId="0" borderId="9" xfId="1" applyFont="1" applyBorder="1" applyAlignment="1">
      <alignment vertical="center"/>
    </xf>
    <xf numFmtId="0" fontId="18" fillId="0" borderId="30" xfId="1" applyFont="1" applyBorder="1" applyAlignment="1">
      <alignment vertical="center"/>
    </xf>
    <xf numFmtId="49" fontId="18" fillId="2" borderId="30" xfId="1" applyNumberFormat="1" applyFont="1" applyFill="1" applyBorder="1" applyAlignment="1">
      <alignment vertical="center"/>
    </xf>
    <xf numFmtId="0" fontId="18" fillId="0" borderId="30" xfId="1" applyFont="1" applyBorder="1" applyAlignment="1">
      <alignment horizontal="center" vertical="center"/>
    </xf>
    <xf numFmtId="4" fontId="18" fillId="0" borderId="85" xfId="1" applyNumberFormat="1" applyFont="1" applyBorder="1" applyAlignment="1" applyProtection="1">
      <alignment horizontal="right" vertical="center"/>
      <protection locked="0"/>
    </xf>
    <xf numFmtId="7" fontId="18" fillId="0" borderId="0" xfId="1" applyNumberFormat="1" applyFont="1"/>
    <xf numFmtId="0" fontId="3" fillId="0" borderId="14" xfId="1" applyFont="1" applyBorder="1" applyAlignment="1">
      <alignment horizontal="left" vertical="center"/>
    </xf>
    <xf numFmtId="49" fontId="6" fillId="0" borderId="15" xfId="1" applyNumberFormat="1" applyFont="1" applyBorder="1" applyAlignment="1" applyProtection="1">
      <alignment horizontal="center" vertical="center"/>
      <protection locked="0"/>
    </xf>
    <xf numFmtId="9" fontId="2" fillId="3" borderId="40" xfId="3" applyFont="1" applyFill="1" applyBorder="1" applyAlignment="1" applyProtection="1">
      <alignment horizontal="right" vertical="center"/>
    </xf>
    <xf numFmtId="4" fontId="20" fillId="4" borderId="4" xfId="1" applyNumberFormat="1" applyFont="1" applyFill="1" applyBorder="1" applyAlignment="1">
      <alignment horizontal="right" vertical="center"/>
    </xf>
    <xf numFmtId="4" fontId="18" fillId="4" borderId="34" xfId="1" applyNumberFormat="1" applyFont="1" applyFill="1" applyBorder="1" applyAlignment="1">
      <alignment horizontal="right" vertical="center"/>
    </xf>
    <xf numFmtId="4" fontId="18" fillId="3" borderId="33" xfId="1" applyNumberFormat="1" applyFont="1" applyFill="1" applyBorder="1" applyAlignment="1" applyProtection="1">
      <alignment horizontal="right" vertical="center"/>
      <protection locked="0"/>
    </xf>
    <xf numFmtId="0" fontId="2" fillId="0" borderId="31" xfId="2" applyBorder="1" applyAlignment="1" applyProtection="1">
      <alignment horizontal="left" vertical="top"/>
      <protection locked="0"/>
    </xf>
    <xf numFmtId="0" fontId="2" fillId="0" borderId="61" xfId="2" applyBorder="1" applyProtection="1">
      <protection locked="0"/>
    </xf>
    <xf numFmtId="0" fontId="18" fillId="0" borderId="17" xfId="1" applyFont="1" applyBorder="1" applyAlignment="1">
      <alignment horizontal="center" vertical="center"/>
    </xf>
    <xf numFmtId="0" fontId="2" fillId="0" borderId="22" xfId="6" applyBorder="1" applyAlignment="1">
      <alignment vertical="center" wrapText="1"/>
    </xf>
    <xf numFmtId="0" fontId="2" fillId="0" borderId="22" xfId="0" applyFont="1" applyBorder="1" applyAlignment="1">
      <alignment horizontal="left" vertical="center"/>
    </xf>
    <xf numFmtId="164" fontId="18" fillId="0" borderId="0" xfId="1" applyNumberFormat="1" applyFont="1"/>
    <xf numFmtId="0" fontId="6" fillId="0" borderId="79" xfId="1" applyFont="1" applyBorder="1" applyAlignment="1" applyProtection="1">
      <alignment vertical="center" wrapText="1"/>
      <protection locked="0"/>
    </xf>
    <xf numFmtId="0" fontId="6" fillId="0" borderId="27" xfId="1" applyFont="1" applyBorder="1" applyAlignment="1" applyProtection="1">
      <alignment vertical="center" wrapText="1"/>
      <protection locked="0"/>
    </xf>
    <xf numFmtId="0" fontId="2" fillId="0" borderId="22" xfId="1" applyBorder="1" applyAlignment="1">
      <alignment horizontal="center" vertical="center"/>
    </xf>
    <xf numFmtId="0" fontId="3" fillId="0" borderId="60" xfId="2" applyFont="1" applyBorder="1" applyAlignment="1">
      <alignment horizontal="centerContinuous"/>
    </xf>
    <xf numFmtId="0" fontId="3" fillId="0" borderId="35" xfId="2" applyFont="1" applyBorder="1" applyAlignment="1">
      <alignment horizontal="centerContinuous"/>
    </xf>
    <xf numFmtId="44" fontId="18" fillId="0" borderId="0" xfId="1" applyNumberFormat="1" applyFont="1"/>
    <xf numFmtId="44" fontId="18" fillId="0" borderId="0" xfId="5" applyFont="1"/>
    <xf numFmtId="49" fontId="2" fillId="2" borderId="30" xfId="1" applyNumberFormat="1" applyFill="1" applyBorder="1" applyAlignment="1">
      <alignment vertical="center"/>
    </xf>
    <xf numFmtId="0" fontId="2" fillId="2" borderId="40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4" fontId="3" fillId="2" borderId="18" xfId="1" applyNumberFormat="1" applyFont="1" applyFill="1" applyBorder="1" applyAlignment="1">
      <alignment horizontal="right" vertical="center"/>
    </xf>
    <xf numFmtId="4" fontId="3" fillId="2" borderId="21" xfId="1" applyNumberFormat="1" applyFont="1" applyFill="1" applyBorder="1" applyAlignment="1">
      <alignment horizontal="right" vertical="center"/>
    </xf>
    <xf numFmtId="10" fontId="18" fillId="2" borderId="77" xfId="3" applyNumberFormat="1" applyFont="1" applyFill="1" applyBorder="1" applyAlignment="1" applyProtection="1">
      <alignment horizontal="center" vertical="center"/>
    </xf>
    <xf numFmtId="10" fontId="18" fillId="2" borderId="78" xfId="3" applyNumberFormat="1" applyFont="1" applyFill="1" applyBorder="1" applyAlignment="1" applyProtection="1">
      <alignment horizontal="center" vertical="center"/>
    </xf>
    <xf numFmtId="0" fontId="2" fillId="2" borderId="59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84" xfId="1" applyFill="1" applyBorder="1" applyAlignment="1">
      <alignment vertical="center"/>
    </xf>
    <xf numFmtId="0" fontId="18" fillId="2" borderId="86" xfId="1" applyFont="1" applyFill="1" applyBorder="1" applyAlignment="1">
      <alignment horizontal="left" vertical="center"/>
    </xf>
    <xf numFmtId="49" fontId="2" fillId="2" borderId="87" xfId="1" applyNumberFormat="1" applyFill="1" applyBorder="1" applyAlignment="1">
      <alignment vertical="center" wrapText="1"/>
    </xf>
    <xf numFmtId="0" fontId="2" fillId="0" borderId="87" xfId="1" applyBorder="1" applyAlignment="1">
      <alignment horizontal="center" vertical="center"/>
    </xf>
    <xf numFmtId="4" fontId="18" fillId="3" borderId="87" xfId="1" applyNumberFormat="1" applyFont="1" applyFill="1" applyBorder="1" applyAlignment="1" applyProtection="1">
      <alignment horizontal="right" vertical="center"/>
      <protection locked="0"/>
    </xf>
    <xf numFmtId="4" fontId="18" fillId="4" borderId="87" xfId="1" applyNumberFormat="1" applyFont="1" applyFill="1" applyBorder="1" applyAlignment="1">
      <alignment horizontal="right" vertical="center"/>
    </xf>
    <xf numFmtId="4" fontId="18" fillId="4" borderId="81" xfId="1" applyNumberFormat="1" applyFont="1" applyFill="1" applyBorder="1" applyAlignment="1">
      <alignment horizontal="right" vertical="center"/>
    </xf>
    <xf numFmtId="4" fontId="3" fillId="2" borderId="20" xfId="1" applyNumberFormat="1" applyFont="1" applyFill="1" applyBorder="1" applyAlignment="1">
      <alignment horizontal="right" vertical="center"/>
    </xf>
    <xf numFmtId="0" fontId="2" fillId="0" borderId="0" xfId="0" applyFont="1" applyAlignment="1">
      <alignment wrapText="1"/>
    </xf>
    <xf numFmtId="0" fontId="6" fillId="0" borderId="88" xfId="1" applyFont="1" applyBorder="1" applyAlignment="1" applyProtection="1">
      <alignment horizontal="center" vertical="center" wrapText="1"/>
      <protection locked="0"/>
    </xf>
    <xf numFmtId="10" fontId="6" fillId="0" borderId="89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90" xfId="1" applyFont="1" applyBorder="1" applyAlignment="1" applyProtection="1">
      <alignment horizontal="center" vertical="center" wrapText="1"/>
      <protection locked="0"/>
    </xf>
    <xf numFmtId="10" fontId="6" fillId="0" borderId="28" xfId="3" applyNumberFormat="1" applyFont="1" applyFill="1" applyBorder="1" applyAlignment="1" applyProtection="1">
      <alignment horizontal="center" vertical="center" wrapText="1"/>
      <protection locked="0"/>
    </xf>
    <xf numFmtId="49" fontId="2" fillId="0" borderId="15" xfId="2" applyNumberFormat="1" applyBorder="1" applyAlignment="1">
      <alignment horizontal="right"/>
    </xf>
    <xf numFmtId="4" fontId="2" fillId="3" borderId="87" xfId="1" applyNumberFormat="1" applyFill="1" applyBorder="1" applyAlignment="1" applyProtection="1">
      <alignment horizontal="right" vertical="center"/>
      <protection locked="0"/>
    </xf>
    <xf numFmtId="0" fontId="3" fillId="0" borderId="65" xfId="1" applyFont="1" applyBorder="1" applyAlignment="1">
      <alignment horizontal="left" vertical="center"/>
    </xf>
    <xf numFmtId="0" fontId="3" fillId="0" borderId="66" xfId="1" applyFont="1" applyBorder="1" applyAlignment="1">
      <alignment horizontal="left" vertical="center"/>
    </xf>
    <xf numFmtId="0" fontId="3" fillId="0" borderId="67" xfId="1" applyFont="1" applyBorder="1" applyAlignment="1">
      <alignment horizontal="left" vertical="center"/>
    </xf>
    <xf numFmtId="0" fontId="3" fillId="0" borderId="10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3" fillId="0" borderId="77" xfId="1" applyFont="1" applyBorder="1" applyAlignment="1" applyProtection="1">
      <alignment horizontal="center" vertical="center"/>
      <protection locked="0"/>
    </xf>
    <xf numFmtId="0" fontId="3" fillId="0" borderId="78" xfId="1" applyFont="1" applyBorder="1" applyAlignment="1" applyProtection="1">
      <alignment horizontal="center" vertical="center"/>
      <protection locked="0"/>
    </xf>
    <xf numFmtId="0" fontId="2" fillId="2" borderId="40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18" fillId="2" borderId="68" xfId="1" applyFont="1" applyFill="1" applyBorder="1" applyAlignment="1">
      <alignment horizontal="center" vertical="center"/>
    </xf>
    <xf numFmtId="0" fontId="18" fillId="2" borderId="69" xfId="1" applyFont="1" applyFill="1" applyBorder="1" applyAlignment="1">
      <alignment horizontal="center" vertical="center"/>
    </xf>
    <xf numFmtId="0" fontId="3" fillId="2" borderId="68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3" fillId="2" borderId="69" xfId="1" applyFont="1" applyFill="1" applyBorder="1" applyAlignment="1">
      <alignment horizontal="center" vertical="center"/>
    </xf>
    <xf numFmtId="10" fontId="18" fillId="2" borderId="68" xfId="3" applyNumberFormat="1" applyFont="1" applyFill="1" applyBorder="1" applyAlignment="1" applyProtection="1">
      <alignment horizontal="center" vertical="center"/>
    </xf>
    <xf numFmtId="10" fontId="18" fillId="2" borderId="69" xfId="3" applyNumberFormat="1" applyFont="1" applyFill="1" applyBorder="1" applyAlignment="1" applyProtection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83" xfId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0" fontId="3" fillId="0" borderId="68" xfId="1" applyFont="1" applyBorder="1" applyAlignment="1">
      <alignment horizontal="left" vertical="center"/>
    </xf>
    <xf numFmtId="0" fontId="20" fillId="0" borderId="23" xfId="1" applyFont="1" applyBorder="1" applyAlignment="1">
      <alignment horizontal="left" vertical="center"/>
    </xf>
    <xf numFmtId="0" fontId="20" fillId="0" borderId="69" xfId="1" applyFont="1" applyBorder="1" applyAlignment="1">
      <alignment horizontal="left" vertical="center"/>
    </xf>
    <xf numFmtId="14" fontId="22" fillId="3" borderId="2" xfId="1" applyNumberFormat="1" applyFont="1" applyFill="1" applyBorder="1" applyAlignment="1">
      <alignment horizontal="center" vertical="center"/>
    </xf>
    <xf numFmtId="10" fontId="18" fillId="3" borderId="84" xfId="3" applyNumberFormat="1" applyFont="1" applyFill="1" applyBorder="1" applyAlignment="1" applyProtection="1">
      <alignment horizontal="right" vertical="center"/>
    </xf>
    <xf numFmtId="10" fontId="18" fillId="0" borderId="0" xfId="3" applyNumberFormat="1" applyFont="1"/>
    <xf numFmtId="7" fontId="18" fillId="2" borderId="0" xfId="1" applyNumberFormat="1" applyFont="1" applyFill="1"/>
    <xf numFmtId="0" fontId="2" fillId="0" borderId="0" xfId="1" applyFont="1"/>
  </cellXfs>
  <cellStyles count="9">
    <cellStyle name="Moeda" xfId="5" builtinId="4"/>
    <cellStyle name="Moeda 2" xfId="8" xr:uid="{369F29D7-F175-4304-A024-C1C3E3A52B5F}"/>
    <cellStyle name="Normal" xfId="0" builtinId="0"/>
    <cellStyle name="Normal_analise - pavimentação - analise - lote 03" xfId="1" xr:uid="{00000000-0005-0000-0000-000002000000}"/>
    <cellStyle name="Normal_cro pavimento 3m1" xfId="2" xr:uid="{00000000-0005-0000-0000-000003000000}"/>
    <cellStyle name="Normal_ORÇAMENTO" xfId="6" xr:uid="{EB8C5F56-A679-49B5-8875-8E865DA1B2CA}"/>
    <cellStyle name="Porcentagem" xfId="3" builtinId="5"/>
    <cellStyle name="Vírgula" xfId="4" builtinId="3"/>
    <cellStyle name="Vírgula 2" xfId="7" xr:uid="{886CD05C-1DE0-4B86-A47B-9A262A2F5D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5_2" preserveFormatting="0" connectionId="19" xr16:uid="{00000000-0016-0000-0200-000023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2" preserveFormatting="0" connectionId="11" xr16:uid="{00000000-0016-0000-0200-000018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3" preserveFormatting="0" connectionId="42" xr16:uid="{FE287994-74D9-49DD-898D-7134CF8F7BAC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8" preserveFormatting="0" connectionId="14" xr16:uid="{CAB17A07-BD46-40A9-B699-E96468EECBF9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7" preserveFormatting="0" connectionId="40" xr16:uid="{724F19FE-04DE-4D2E-A75D-92EBB907DD07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2_2" preserveFormatting="0" connectionId="25" xr16:uid="{00000000-0016-0000-0200-00001B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6" preserveFormatting="0" connectionId="27" xr16:uid="{00000000-0016-0000-0200-00001C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6_2" preserveFormatting="0" connectionId="21" xr16:uid="{00000000-0016-0000-0200-000026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2" preserveFormatting="0" connectionId="29" xr16:uid="{00000000-0016-0000-0200-00001A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1" preserveFormatting="0" connectionId="41" xr16:uid="{00000000-0016-0000-0200-00001E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5" preserveFormatting="0" connectionId="31" xr16:uid="{00000000-0016-0000-0200-000019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2_1" preserveFormatting="0" connectionId="9" xr16:uid="{00000000-0016-0000-0200-00001D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5" preserveFormatting="0" connectionId="12" xr16:uid="{EF0AA35D-9F68-4333-8FA3-C4A82D747C92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7" preserveFormatting="0" connectionId="35" xr16:uid="{00000000-0016-0000-0200-000016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" preserveFormatting="0" connectionId="37" xr16:uid="{00000000-0016-0000-0200-000028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5" preserveFormatting="0" connectionId="3" xr16:uid="{00000000-0016-0000-0200-000022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4" preserveFormatting="0" connectionId="38" xr16:uid="{DE20AA02-9140-427D-81B4-6047CB3C8FE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5_1" preserveFormatting="0" connectionId="7" xr16:uid="{00000000-0016-0000-0200-000017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6" preserveFormatting="0" connectionId="44" xr16:uid="{4F88C2E9-D543-448D-8EF6-74BB805A3481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6" preserveFormatting="0" connectionId="33" xr16:uid="{00000000-0016-0000-0200-000015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6_2" preserveFormatting="0" connectionId="17" xr16:uid="{00000000-0016-0000-0200-000024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6_1" preserveFormatting="0" connectionId="5" xr16:uid="{00000000-0016-0000-0200-000020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7_1" preserveFormatting="0" connectionId="45" xr16:uid="{00000000-0016-0000-0200-000029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5_1" preserveFormatting="0" connectionId="1" xr16:uid="{00000000-0016-0000-0200-000025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5_2" preserveFormatting="0" connectionId="23" xr16:uid="{00000000-0016-0000-0200-000021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7_2" preserveFormatting="0" connectionId="15" xr16:uid="{00000000-0016-0000-0200-00001F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6_1" preserveFormatting="0" connectionId="47" xr16:uid="{00000000-0016-0000-0200-000027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" Type="http://schemas.openxmlformats.org/officeDocument/2006/relationships/queryTable" Target="../queryTables/queryTable2.xml"/><Relationship Id="rId21" Type="http://schemas.openxmlformats.org/officeDocument/2006/relationships/queryTable" Target="../queryTables/queryTable20.xml"/><Relationship Id="rId7" Type="http://schemas.openxmlformats.org/officeDocument/2006/relationships/queryTable" Target="../queryTables/queryTable6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0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10" Type="http://schemas.openxmlformats.org/officeDocument/2006/relationships/queryTable" Target="../queryTables/queryTable9.xml"/><Relationship Id="rId19" Type="http://schemas.openxmlformats.org/officeDocument/2006/relationships/queryTable" Target="../queryTables/queryTable18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487"/>
  <sheetViews>
    <sheetView showGridLines="0" view="pageBreakPreview" zoomScale="115" zoomScaleNormal="90" zoomScaleSheetLayoutView="115" workbookViewId="0">
      <selection activeCell="T9" sqref="T9"/>
    </sheetView>
  </sheetViews>
  <sheetFormatPr defaultColWidth="10.6640625" defaultRowHeight="12.75" x14ac:dyDescent="0.2"/>
  <cols>
    <col min="1" max="1" width="2.1640625" style="11" customWidth="1"/>
    <col min="2" max="2" width="13.1640625" style="11" customWidth="1"/>
    <col min="3" max="3" width="76" style="11" bestFit="1" customWidth="1"/>
    <col min="4" max="4" width="3.83203125" style="11" bestFit="1" customWidth="1"/>
    <col min="5" max="14" width="12.5" style="11" customWidth="1"/>
    <col min="15" max="19" width="12.5" style="11" hidden="1" customWidth="1"/>
    <col min="20" max="20" width="18.33203125" style="11" customWidth="1"/>
    <col min="21" max="21" width="14.33203125" style="11" customWidth="1"/>
    <col min="22" max="22" width="10.6640625" style="11" customWidth="1"/>
    <col min="23" max="23" width="18.1640625" style="11" customWidth="1"/>
    <col min="24" max="16384" width="10.6640625" style="11"/>
  </cols>
  <sheetData>
    <row r="1" spans="2:23" ht="13.5" thickBot="1" x14ac:dyDescent="0.25"/>
    <row r="2" spans="2:23" ht="28.5" customHeight="1" x14ac:dyDescent="0.3">
      <c r="B2" s="104" t="s">
        <v>52</v>
      </c>
      <c r="C2" s="190" t="s">
        <v>53</v>
      </c>
      <c r="D2" s="8"/>
      <c r="E2" s="9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 t="s">
        <v>80</v>
      </c>
      <c r="U2" s="246" t="s">
        <v>81</v>
      </c>
      <c r="W2" s="107"/>
    </row>
    <row r="3" spans="2:23" ht="15" customHeight="1" x14ac:dyDescent="0.2">
      <c r="B3" s="12" t="s">
        <v>21</v>
      </c>
      <c r="C3" s="13" t="str">
        <f>'TRECHO 01'!D3</f>
        <v>SANTA TEREZA DO OESTE / PR</v>
      </c>
      <c r="D3" s="13"/>
      <c r="E3" s="13"/>
      <c r="F3" s="106"/>
      <c r="G3" s="14"/>
      <c r="H3" s="14"/>
      <c r="I3" s="13"/>
      <c r="J3" s="106"/>
      <c r="K3" s="14"/>
      <c r="L3" s="14"/>
      <c r="M3" s="14"/>
      <c r="N3" s="14"/>
      <c r="O3" s="14"/>
      <c r="P3" s="14"/>
      <c r="Q3" s="14"/>
      <c r="R3" s="14"/>
      <c r="S3" s="14"/>
      <c r="T3" s="15" t="s">
        <v>78</v>
      </c>
      <c r="U3" s="169">
        <v>0.9</v>
      </c>
    </row>
    <row r="4" spans="2:23" ht="15" customHeight="1" x14ac:dyDescent="0.2">
      <c r="B4" s="12" t="s">
        <v>1</v>
      </c>
      <c r="C4" s="16" t="str">
        <f>'TRECHO 01'!D4</f>
        <v>ADEQUAÇÃO DE ESTRADA RURAL</v>
      </c>
      <c r="D4" s="13"/>
      <c r="E4" s="13"/>
      <c r="F4" s="106"/>
      <c r="G4" s="14"/>
      <c r="H4" s="14"/>
      <c r="I4" s="13"/>
      <c r="J4" s="106"/>
      <c r="K4" s="14"/>
      <c r="L4" s="14"/>
      <c r="M4" s="14"/>
      <c r="N4" s="14"/>
      <c r="O4" s="14"/>
      <c r="P4" s="14"/>
      <c r="Q4" s="14"/>
      <c r="R4" s="14"/>
      <c r="S4" s="14"/>
      <c r="T4" s="15" t="s">
        <v>2</v>
      </c>
      <c r="U4" s="170">
        <v>0.1</v>
      </c>
      <c r="W4" s="107"/>
    </row>
    <row r="5" spans="2:23" ht="15" customHeight="1" thickBot="1" x14ac:dyDescent="0.25">
      <c r="B5" s="17" t="s">
        <v>22</v>
      </c>
      <c r="C5" s="18" t="str">
        <f>'TRECHO 01'!D5</f>
        <v>ESTRADA RURAIS</v>
      </c>
      <c r="D5" s="19"/>
      <c r="E5" s="19"/>
      <c r="F5" s="20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"/>
    </row>
    <row r="6" spans="2:23" ht="18" x14ac:dyDescent="0.25">
      <c r="B6" s="22" t="s">
        <v>3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4"/>
    </row>
    <row r="7" spans="2:23" ht="12.75" customHeight="1" x14ac:dyDescent="0.2">
      <c r="B7" s="25" t="s">
        <v>4</v>
      </c>
      <c r="C7" s="26" t="s">
        <v>16</v>
      </c>
      <c r="D7" s="27"/>
      <c r="E7" s="28" t="s">
        <v>62</v>
      </c>
      <c r="F7" s="29"/>
      <c r="G7" s="29"/>
      <c r="H7" s="29"/>
      <c r="I7" s="29"/>
      <c r="J7" s="29"/>
      <c r="K7" s="29"/>
      <c r="L7" s="30"/>
      <c r="M7" s="30"/>
      <c r="N7" s="30"/>
      <c r="O7" s="30"/>
      <c r="P7" s="30"/>
      <c r="Q7" s="30"/>
      <c r="R7" s="30"/>
      <c r="S7" s="30"/>
      <c r="T7" s="31" t="s">
        <v>19</v>
      </c>
      <c r="U7" s="32" t="s">
        <v>5</v>
      </c>
    </row>
    <row r="8" spans="2:23" ht="13.5" thickBot="1" x14ac:dyDescent="0.25">
      <c r="B8" s="33" t="s">
        <v>7</v>
      </c>
      <c r="C8" s="34"/>
      <c r="D8" s="35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/>
      <c r="P8" s="36"/>
      <c r="Q8" s="36"/>
      <c r="R8" s="36"/>
      <c r="S8" s="36"/>
      <c r="T8" s="37" t="s">
        <v>8</v>
      </c>
      <c r="U8" s="38" t="s">
        <v>19</v>
      </c>
      <c r="V8" s="11" t="s">
        <v>6</v>
      </c>
    </row>
    <row r="9" spans="2:23" ht="13.5" thickTop="1" x14ac:dyDescent="0.2">
      <c r="B9" s="171">
        <v>1</v>
      </c>
      <c r="C9" s="195" t="str">
        <f>IF(B9="","",VLOOKUP(B9,'TRECHO 01'!$B$9:$I$34,3,FALSE))</f>
        <v>PLACA DE OBRA</v>
      </c>
      <c r="D9" s="191"/>
      <c r="E9" s="197">
        <v>100</v>
      </c>
      <c r="F9" s="197">
        <v>0</v>
      </c>
      <c r="G9" s="197">
        <v>0</v>
      </c>
      <c r="H9" s="197">
        <v>0</v>
      </c>
      <c r="I9" s="197">
        <v>0</v>
      </c>
      <c r="J9" s="197">
        <v>0</v>
      </c>
      <c r="K9" s="197">
        <v>0</v>
      </c>
      <c r="L9" s="197">
        <v>0</v>
      </c>
      <c r="M9" s="197">
        <v>0</v>
      </c>
      <c r="N9" s="197">
        <v>0</v>
      </c>
      <c r="O9" s="197"/>
      <c r="P9" s="197"/>
      <c r="Q9" s="197"/>
      <c r="R9" s="197"/>
      <c r="S9" s="197"/>
      <c r="T9" s="192">
        <f>'TRECHO 01'!I11</f>
        <v>2740.96</v>
      </c>
      <c r="U9" s="193">
        <f t="shared" ref="U9:U15" si="0">IF(B9="","",IF($T$17=0,0,(T9/$T$17)*100))</f>
        <v>0.37681123955935131</v>
      </c>
      <c r="V9" s="105">
        <f t="shared" ref="V9:V13" si="1">SUM(E9:S9)</f>
        <v>100</v>
      </c>
    </row>
    <row r="10" spans="2:23" ht="13.5" customHeight="1" x14ac:dyDescent="0.2">
      <c r="B10" s="171">
        <v>2</v>
      </c>
      <c r="C10" s="195" t="str">
        <f>IF(B10="","",VLOOKUP(B10,'TRECHO 01'!$B$12:$I$34,3,FALSE))</f>
        <v>ESCAVAÇÃO MECANIZADA</v>
      </c>
      <c r="D10" s="191"/>
      <c r="E10" s="197">
        <v>10</v>
      </c>
      <c r="F10" s="197">
        <v>10</v>
      </c>
      <c r="G10" s="197">
        <v>10</v>
      </c>
      <c r="H10" s="197">
        <v>10</v>
      </c>
      <c r="I10" s="197">
        <v>20</v>
      </c>
      <c r="J10" s="197">
        <v>15</v>
      </c>
      <c r="K10" s="197">
        <f t="shared" ref="F10:N15" si="2">100/10</f>
        <v>10</v>
      </c>
      <c r="L10" s="197">
        <v>10</v>
      </c>
      <c r="M10" s="197">
        <v>5</v>
      </c>
      <c r="N10" s="197">
        <v>0</v>
      </c>
      <c r="O10" s="197"/>
      <c r="P10" s="197"/>
      <c r="Q10" s="197"/>
      <c r="R10" s="197"/>
      <c r="S10" s="197"/>
      <c r="T10" s="192">
        <f>'TRECHO 01'!I14</f>
        <v>162570.23999999999</v>
      </c>
      <c r="U10" s="193">
        <f t="shared" si="0"/>
        <v>22.349211097521025</v>
      </c>
      <c r="V10" s="105">
        <f t="shared" si="1"/>
        <v>100</v>
      </c>
    </row>
    <row r="11" spans="2:23" x14ac:dyDescent="0.2">
      <c r="B11" s="171">
        <v>3</v>
      </c>
      <c r="C11" s="195" t="str">
        <f>IF(B11="","",VLOOKUP(B11,'TRECHO 01'!$B$12:$I$34,3,FALSE))</f>
        <v>REGULARIZAÇÃO E COMPACTAÇÃO DE SUBLEITO</v>
      </c>
      <c r="D11" s="191"/>
      <c r="E11" s="197">
        <f t="shared" ref="E11:E15" si="3">100/10</f>
        <v>10</v>
      </c>
      <c r="F11" s="197">
        <f t="shared" si="2"/>
        <v>10</v>
      </c>
      <c r="G11" s="197">
        <f t="shared" si="2"/>
        <v>10</v>
      </c>
      <c r="H11" s="197">
        <f t="shared" si="2"/>
        <v>10</v>
      </c>
      <c r="I11" s="197">
        <f t="shared" si="2"/>
        <v>10</v>
      </c>
      <c r="J11" s="197">
        <f t="shared" si="2"/>
        <v>10</v>
      </c>
      <c r="K11" s="197">
        <f t="shared" si="2"/>
        <v>10</v>
      </c>
      <c r="L11" s="197">
        <f t="shared" si="2"/>
        <v>10</v>
      </c>
      <c r="M11" s="197">
        <f t="shared" si="2"/>
        <v>10</v>
      </c>
      <c r="N11" s="197">
        <f t="shared" si="2"/>
        <v>10</v>
      </c>
      <c r="O11" s="197"/>
      <c r="P11" s="197"/>
      <c r="Q11" s="197"/>
      <c r="R11" s="197"/>
      <c r="S11" s="197"/>
      <c r="T11" s="192">
        <f>'TRECHO 01'!I17</f>
        <v>75801.600000000006</v>
      </c>
      <c r="U11" s="193">
        <f t="shared" si="0"/>
        <v>10.420763110947306</v>
      </c>
      <c r="V11" s="105">
        <f t="shared" si="1"/>
        <v>100</v>
      </c>
    </row>
    <row r="12" spans="2:23" x14ac:dyDescent="0.2">
      <c r="B12" s="171">
        <v>4</v>
      </c>
      <c r="C12" s="195" t="str">
        <f>IF(B12="","",VLOOKUP(B12,'TRECHO 01'!$B$12:$I$34,3,FALSE))</f>
        <v>ESCAVAÇÃO MECANIZADA</v>
      </c>
      <c r="D12" s="191"/>
      <c r="E12" s="197">
        <f t="shared" si="3"/>
        <v>10</v>
      </c>
      <c r="F12" s="197">
        <f t="shared" si="2"/>
        <v>10</v>
      </c>
      <c r="G12" s="197">
        <f t="shared" si="2"/>
        <v>10</v>
      </c>
      <c r="H12" s="197">
        <f t="shared" si="2"/>
        <v>10</v>
      </c>
      <c r="I12" s="197">
        <f t="shared" si="2"/>
        <v>10</v>
      </c>
      <c r="J12" s="197">
        <f t="shared" si="2"/>
        <v>10</v>
      </c>
      <c r="K12" s="197">
        <f t="shared" si="2"/>
        <v>10</v>
      </c>
      <c r="L12" s="197">
        <f t="shared" si="2"/>
        <v>10</v>
      </c>
      <c r="M12" s="197">
        <f t="shared" si="2"/>
        <v>10</v>
      </c>
      <c r="N12" s="197">
        <f t="shared" si="2"/>
        <v>10</v>
      </c>
      <c r="O12" s="197"/>
      <c r="P12" s="197"/>
      <c r="Q12" s="197"/>
      <c r="R12" s="197"/>
      <c r="S12" s="197"/>
      <c r="T12" s="192">
        <f>'TRECHO 01'!I21</f>
        <v>203212.79999999999</v>
      </c>
      <c r="U12" s="193">
        <f t="shared" si="0"/>
        <v>27.93651387190128</v>
      </c>
      <c r="V12" s="105">
        <f t="shared" si="1"/>
        <v>100</v>
      </c>
    </row>
    <row r="13" spans="2:23" x14ac:dyDescent="0.2">
      <c r="B13" s="171">
        <v>5</v>
      </c>
      <c r="C13" s="195" t="str">
        <f>IF(B13="","",VLOOKUP(B13,'TRECHO 01'!$B$12:$I$34,3,FALSE))</f>
        <v>REGULARIZAÇÃO E COMPACTAÇÃO DE SUBLEITO</v>
      </c>
      <c r="D13" s="191"/>
      <c r="E13" s="197">
        <f t="shared" si="3"/>
        <v>10</v>
      </c>
      <c r="F13" s="197">
        <f t="shared" si="2"/>
        <v>10</v>
      </c>
      <c r="G13" s="197">
        <f t="shared" si="2"/>
        <v>10</v>
      </c>
      <c r="H13" s="197">
        <f t="shared" si="2"/>
        <v>10</v>
      </c>
      <c r="I13" s="197">
        <f t="shared" si="2"/>
        <v>10</v>
      </c>
      <c r="J13" s="197">
        <f t="shared" si="2"/>
        <v>10</v>
      </c>
      <c r="K13" s="197">
        <f t="shared" si="2"/>
        <v>10</v>
      </c>
      <c r="L13" s="197">
        <f t="shared" si="2"/>
        <v>10</v>
      </c>
      <c r="M13" s="197">
        <f t="shared" si="2"/>
        <v>10</v>
      </c>
      <c r="N13" s="197">
        <f t="shared" si="2"/>
        <v>10</v>
      </c>
      <c r="O13" s="197"/>
      <c r="P13" s="197"/>
      <c r="Q13" s="197"/>
      <c r="R13" s="197"/>
      <c r="S13" s="197"/>
      <c r="T13" s="192">
        <f>'TRECHO 01'!I24</f>
        <v>94752</v>
      </c>
      <c r="U13" s="193">
        <f t="shared" si="0"/>
        <v>13.02595388868413</v>
      </c>
      <c r="V13" s="105">
        <f t="shared" si="1"/>
        <v>100</v>
      </c>
    </row>
    <row r="14" spans="2:23" x14ac:dyDescent="0.2">
      <c r="B14" s="171">
        <v>6</v>
      </c>
      <c r="C14" s="195" t="str">
        <f>IF(B14="","",VLOOKUP(B14,'TRECHO 01'!$B$12:$I$34,3,FALSE))</f>
        <v>ESCAVAÇÃO MECANIZADA</v>
      </c>
      <c r="D14" s="196">
        <v>6</v>
      </c>
      <c r="E14" s="197">
        <f t="shared" si="3"/>
        <v>10</v>
      </c>
      <c r="F14" s="197">
        <f t="shared" si="2"/>
        <v>10</v>
      </c>
      <c r="G14" s="197">
        <f t="shared" si="2"/>
        <v>10</v>
      </c>
      <c r="H14" s="197">
        <f t="shared" si="2"/>
        <v>10</v>
      </c>
      <c r="I14" s="197">
        <f t="shared" si="2"/>
        <v>10</v>
      </c>
      <c r="J14" s="197">
        <f t="shared" si="2"/>
        <v>10</v>
      </c>
      <c r="K14" s="197">
        <f t="shared" si="2"/>
        <v>10</v>
      </c>
      <c r="L14" s="197">
        <f t="shared" si="2"/>
        <v>10</v>
      </c>
      <c r="M14" s="197">
        <f t="shared" si="2"/>
        <v>10</v>
      </c>
      <c r="N14" s="197">
        <f t="shared" si="2"/>
        <v>10</v>
      </c>
      <c r="O14" s="194"/>
      <c r="P14" s="194"/>
      <c r="Q14" s="194"/>
      <c r="R14" s="194"/>
      <c r="S14" s="194"/>
      <c r="T14" s="192">
        <f>'TRECHO 01'!I29</f>
        <v>129585.46</v>
      </c>
      <c r="U14" s="193">
        <f t="shared" si="0"/>
        <v>17.814655380402755</v>
      </c>
      <c r="V14" s="105">
        <f t="shared" ref="V14:V15" si="4">SUM(E14:S14)</f>
        <v>100</v>
      </c>
    </row>
    <row r="15" spans="2:23" x14ac:dyDescent="0.2">
      <c r="B15" s="172">
        <v>7</v>
      </c>
      <c r="C15" s="195" t="str">
        <f>IF(B15="","",VLOOKUP(B15,'TRECHO 01'!$B$12:$I$34,3,FALSE))</f>
        <v>REGULARIZAÇÃO E COMPACTAÇÃO DE SUBLEITO</v>
      </c>
      <c r="D15" s="196">
        <v>6</v>
      </c>
      <c r="E15" s="197">
        <f t="shared" si="3"/>
        <v>10</v>
      </c>
      <c r="F15" s="197">
        <f t="shared" si="2"/>
        <v>10</v>
      </c>
      <c r="G15" s="197">
        <f t="shared" si="2"/>
        <v>10</v>
      </c>
      <c r="H15" s="197">
        <f t="shared" si="2"/>
        <v>10</v>
      </c>
      <c r="I15" s="197">
        <f t="shared" si="2"/>
        <v>10</v>
      </c>
      <c r="J15" s="197">
        <f t="shared" si="2"/>
        <v>10</v>
      </c>
      <c r="K15" s="197">
        <f t="shared" si="2"/>
        <v>10</v>
      </c>
      <c r="L15" s="197">
        <f t="shared" si="2"/>
        <v>10</v>
      </c>
      <c r="M15" s="197">
        <f t="shared" si="2"/>
        <v>10</v>
      </c>
      <c r="N15" s="197">
        <f t="shared" si="2"/>
        <v>10</v>
      </c>
      <c r="O15" s="194"/>
      <c r="P15" s="194"/>
      <c r="Q15" s="194"/>
      <c r="R15" s="194"/>
      <c r="S15" s="194"/>
      <c r="T15" s="192">
        <f>'TRECHO 01'!I32</f>
        <v>58746.239999999998</v>
      </c>
      <c r="U15" s="193">
        <f t="shared" si="0"/>
        <v>8.0760914109841604</v>
      </c>
      <c r="V15" s="105">
        <f t="shared" si="4"/>
        <v>100</v>
      </c>
    </row>
    <row r="16" spans="2:23" ht="13.5" thickBot="1" x14ac:dyDescent="0.25">
      <c r="B16" s="40"/>
      <c r="C16" s="41"/>
      <c r="D16" s="41"/>
      <c r="E16" s="42"/>
      <c r="F16" s="39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3"/>
      <c r="U16" s="44"/>
    </row>
    <row r="17" spans="2:22" ht="14.25" thickTop="1" thickBot="1" x14ac:dyDescent="0.25">
      <c r="B17" s="45"/>
      <c r="C17" s="46" t="s">
        <v>20</v>
      </c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9">
        <f>SUM(T9:T16)</f>
        <v>727409.29999999993</v>
      </c>
      <c r="U17" s="50">
        <f>SUM(U9:U15)</f>
        <v>100.00000000000001</v>
      </c>
    </row>
    <row r="18" spans="2:22" ht="18.75" thickTop="1" x14ac:dyDescent="0.25">
      <c r="B18" s="51" t="s">
        <v>9</v>
      </c>
      <c r="C18" s="52"/>
      <c r="D18" s="52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4"/>
    </row>
    <row r="19" spans="2:22" ht="13.5" thickBot="1" x14ac:dyDescent="0.25">
      <c r="B19" s="55" t="s">
        <v>7</v>
      </c>
      <c r="C19" s="56"/>
      <c r="D19" s="56"/>
      <c r="E19" s="57" t="s">
        <v>10</v>
      </c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8" t="s">
        <v>19</v>
      </c>
      <c r="U19" s="59" t="s">
        <v>5</v>
      </c>
    </row>
    <row r="20" spans="2:22" ht="13.5" thickTop="1" x14ac:dyDescent="0.2">
      <c r="B20" s="60"/>
      <c r="C20" s="61"/>
      <c r="D20" s="61"/>
      <c r="E20" s="62">
        <v>1</v>
      </c>
      <c r="F20" s="62">
        <v>2</v>
      </c>
      <c r="G20" s="62">
        <v>3</v>
      </c>
      <c r="H20" s="62">
        <v>4</v>
      </c>
      <c r="I20" s="62">
        <v>5</v>
      </c>
      <c r="J20" s="62">
        <v>6</v>
      </c>
      <c r="K20" s="62">
        <v>7</v>
      </c>
      <c r="L20" s="62">
        <v>8</v>
      </c>
      <c r="M20" s="62">
        <v>9</v>
      </c>
      <c r="N20" s="62">
        <v>10</v>
      </c>
      <c r="O20" s="62">
        <v>11</v>
      </c>
      <c r="P20" s="62">
        <v>12</v>
      </c>
      <c r="Q20" s="62">
        <v>13</v>
      </c>
      <c r="R20" s="62">
        <v>14</v>
      </c>
      <c r="S20" s="62">
        <v>15</v>
      </c>
      <c r="T20" s="63" t="s">
        <v>7</v>
      </c>
      <c r="U20" s="64" t="s">
        <v>7</v>
      </c>
    </row>
    <row r="21" spans="2:22" x14ac:dyDescent="0.2">
      <c r="B21" s="65">
        <f>IF(B9="","",B9)</f>
        <v>1</v>
      </c>
      <c r="C21" s="66" t="str">
        <f>IF(B21="","","FINANCIAMENTO")</f>
        <v>FINANCIAMENTO</v>
      </c>
      <c r="D21" s="66" t="s">
        <v>12</v>
      </c>
      <c r="E21" s="198">
        <f t="shared" ref="E21:S21" si="5">IF(E9="","",((E9/100)*$T$9)*$U$3)</f>
        <v>2466.864</v>
      </c>
      <c r="F21" s="198">
        <f t="shared" si="5"/>
        <v>0</v>
      </c>
      <c r="G21" s="198">
        <f t="shared" si="5"/>
        <v>0</v>
      </c>
      <c r="H21" s="198">
        <f t="shared" si="5"/>
        <v>0</v>
      </c>
      <c r="I21" s="198">
        <f t="shared" si="5"/>
        <v>0</v>
      </c>
      <c r="J21" s="198">
        <f t="shared" si="5"/>
        <v>0</v>
      </c>
      <c r="K21" s="198">
        <f t="shared" si="5"/>
        <v>0</v>
      </c>
      <c r="L21" s="198">
        <f t="shared" si="5"/>
        <v>0</v>
      </c>
      <c r="M21" s="198">
        <f t="shared" si="5"/>
        <v>0</v>
      </c>
      <c r="N21" s="198">
        <f t="shared" si="5"/>
        <v>0</v>
      </c>
      <c r="O21" s="198" t="str">
        <f t="shared" si="5"/>
        <v/>
      </c>
      <c r="P21" s="198" t="str">
        <f t="shared" si="5"/>
        <v/>
      </c>
      <c r="Q21" s="198" t="str">
        <f t="shared" si="5"/>
        <v/>
      </c>
      <c r="R21" s="198" t="str">
        <f t="shared" si="5"/>
        <v/>
      </c>
      <c r="S21" s="198" t="str">
        <f t="shared" si="5"/>
        <v/>
      </c>
      <c r="T21" s="67">
        <f>ROUND(SUM(E21:S21),2)</f>
        <v>2466.86</v>
      </c>
      <c r="U21" s="2">
        <f t="shared" ref="U21:U38" si="6">IF($T$45=0,0,(T21/$T$45))</f>
        <v>3.3912956570667984E-3</v>
      </c>
    </row>
    <row r="22" spans="2:22" x14ac:dyDescent="0.2">
      <c r="B22" s="65"/>
      <c r="C22" s="66" t="str">
        <f>IF(B21="","","CONTRAPARTIDA")</f>
        <v>CONTRAPARTIDA</v>
      </c>
      <c r="D22" s="66" t="s">
        <v>12</v>
      </c>
      <c r="E22" s="198">
        <f t="shared" ref="E22:S22" si="7">IF(E9="","",((E9/100)*$T$9)*$U$4)</f>
        <v>274.096</v>
      </c>
      <c r="F22" s="198">
        <f t="shared" si="7"/>
        <v>0</v>
      </c>
      <c r="G22" s="198">
        <f t="shared" si="7"/>
        <v>0</v>
      </c>
      <c r="H22" s="198">
        <f t="shared" si="7"/>
        <v>0</v>
      </c>
      <c r="I22" s="198">
        <f t="shared" si="7"/>
        <v>0</v>
      </c>
      <c r="J22" s="198">
        <f t="shared" si="7"/>
        <v>0</v>
      </c>
      <c r="K22" s="198">
        <f t="shared" si="7"/>
        <v>0</v>
      </c>
      <c r="L22" s="198">
        <f t="shared" si="7"/>
        <v>0</v>
      </c>
      <c r="M22" s="198">
        <f t="shared" si="7"/>
        <v>0</v>
      </c>
      <c r="N22" s="198">
        <f t="shared" si="7"/>
        <v>0</v>
      </c>
      <c r="O22" s="198" t="str">
        <f t="shared" si="7"/>
        <v/>
      </c>
      <c r="P22" s="198" t="str">
        <f t="shared" si="7"/>
        <v/>
      </c>
      <c r="Q22" s="198" t="str">
        <f t="shared" si="7"/>
        <v/>
      </c>
      <c r="R22" s="198" t="str">
        <f t="shared" si="7"/>
        <v/>
      </c>
      <c r="S22" s="198" t="str">
        <f t="shared" si="7"/>
        <v/>
      </c>
      <c r="T22" s="67">
        <f t="shared" ref="T22:T36" si="8">SUM(E22:S22)</f>
        <v>274.096</v>
      </c>
      <c r="U22" s="2">
        <f t="shared" si="6"/>
        <v>3.7681123955935121E-4</v>
      </c>
      <c r="V22" s="68"/>
    </row>
    <row r="23" spans="2:22" x14ac:dyDescent="0.2">
      <c r="B23" s="65">
        <f>IF(B10="","",B10)</f>
        <v>2</v>
      </c>
      <c r="C23" s="66" t="str">
        <f t="shared" ref="C23" si="9">IF(B23="","","FINANCIAMENTO")</f>
        <v>FINANCIAMENTO</v>
      </c>
      <c r="D23" s="66" t="s">
        <v>12</v>
      </c>
      <c r="E23" s="198">
        <f t="shared" ref="E23:S23" si="10">IF(E10="","",((E10/100)*$T$10)*$U$3)</f>
        <v>14631.321599999999</v>
      </c>
      <c r="F23" s="198">
        <f t="shared" si="10"/>
        <v>14631.321599999999</v>
      </c>
      <c r="G23" s="198">
        <f t="shared" si="10"/>
        <v>14631.321599999999</v>
      </c>
      <c r="H23" s="198">
        <f t="shared" si="10"/>
        <v>14631.321599999999</v>
      </c>
      <c r="I23" s="198">
        <f t="shared" si="10"/>
        <v>29262.643199999999</v>
      </c>
      <c r="J23" s="198">
        <f t="shared" si="10"/>
        <v>21946.982399999997</v>
      </c>
      <c r="K23" s="198">
        <f t="shared" si="10"/>
        <v>14631.321599999999</v>
      </c>
      <c r="L23" s="198">
        <f t="shared" si="10"/>
        <v>14631.321599999999</v>
      </c>
      <c r="M23" s="198">
        <f t="shared" si="10"/>
        <v>7315.6607999999997</v>
      </c>
      <c r="N23" s="198">
        <f t="shared" si="10"/>
        <v>0</v>
      </c>
      <c r="O23" s="198" t="str">
        <f t="shared" si="10"/>
        <v/>
      </c>
      <c r="P23" s="198" t="str">
        <f t="shared" si="10"/>
        <v/>
      </c>
      <c r="Q23" s="198" t="str">
        <f t="shared" si="10"/>
        <v/>
      </c>
      <c r="R23" s="198" t="str">
        <f t="shared" si="10"/>
        <v/>
      </c>
      <c r="S23" s="198" t="str">
        <f t="shared" si="10"/>
        <v/>
      </c>
      <c r="T23" s="67">
        <f t="shared" si="8"/>
        <v>146313.21600000001</v>
      </c>
      <c r="U23" s="2">
        <f t="shared" si="6"/>
        <v>0.20114289987768921</v>
      </c>
    </row>
    <row r="24" spans="2:22" x14ac:dyDescent="0.2">
      <c r="B24" s="65"/>
      <c r="C24" s="66" t="str">
        <f t="shared" ref="C24" si="11">IF(B23="","","CONTRAPARTIDA")</f>
        <v>CONTRAPARTIDA</v>
      </c>
      <c r="D24" s="66" t="s">
        <v>12</v>
      </c>
      <c r="E24" s="198">
        <f t="shared" ref="E24:S24" si="12">IF(E10="","",((E10/100)*$T$10)*$U$4)</f>
        <v>1625.7024000000001</v>
      </c>
      <c r="F24" s="198">
        <f t="shared" si="12"/>
        <v>1625.7024000000001</v>
      </c>
      <c r="G24" s="198">
        <f t="shared" si="12"/>
        <v>1625.7024000000001</v>
      </c>
      <c r="H24" s="198">
        <f t="shared" si="12"/>
        <v>1625.7024000000001</v>
      </c>
      <c r="I24" s="198">
        <f t="shared" si="12"/>
        <v>3251.4048000000003</v>
      </c>
      <c r="J24" s="198">
        <f t="shared" si="12"/>
        <v>2438.5535999999997</v>
      </c>
      <c r="K24" s="198">
        <f t="shared" si="12"/>
        <v>1625.7024000000001</v>
      </c>
      <c r="L24" s="198">
        <f t="shared" si="12"/>
        <v>1625.7024000000001</v>
      </c>
      <c r="M24" s="198">
        <f t="shared" si="12"/>
        <v>812.85120000000006</v>
      </c>
      <c r="N24" s="198">
        <f t="shared" si="12"/>
        <v>0</v>
      </c>
      <c r="O24" s="198" t="str">
        <f t="shared" si="12"/>
        <v/>
      </c>
      <c r="P24" s="198" t="str">
        <f t="shared" si="12"/>
        <v/>
      </c>
      <c r="Q24" s="198" t="str">
        <f t="shared" si="12"/>
        <v/>
      </c>
      <c r="R24" s="198" t="str">
        <f t="shared" si="12"/>
        <v/>
      </c>
      <c r="S24" s="198" t="str">
        <f t="shared" si="12"/>
        <v/>
      </c>
      <c r="T24" s="67">
        <f t="shared" si="8"/>
        <v>16257.024000000001</v>
      </c>
      <c r="U24" s="2">
        <f t="shared" si="6"/>
        <v>2.2349211097521023E-2</v>
      </c>
      <c r="V24" s="68"/>
    </row>
    <row r="25" spans="2:22" hidden="1" x14ac:dyDescent="0.2">
      <c r="B25" s="65" t="e">
        <f>IF(#REF!="","",#REF!)</f>
        <v>#REF!</v>
      </c>
      <c r="C25" s="66" t="e">
        <f t="shared" ref="C25" si="13">IF(B25="","","FINANCIAMENTO")</f>
        <v>#REF!</v>
      </c>
      <c r="D25" s="66" t="s">
        <v>12</v>
      </c>
      <c r="E25" s="198" t="e">
        <f>IF(#REF!="","",((#REF!/100)*#REF!)*$U$3)</f>
        <v>#REF!</v>
      </c>
      <c r="F25" s="198" t="e">
        <f>IF(#REF!="","",((#REF!/100)*#REF!)*$U$3)</f>
        <v>#REF!</v>
      </c>
      <c r="G25" s="198" t="e">
        <f>IF(#REF!="","",((#REF!/100)*#REF!)*$U$3)</f>
        <v>#REF!</v>
      </c>
      <c r="H25" s="198" t="e">
        <f>IF(#REF!="","",((#REF!/100)*#REF!)*$U$3)</f>
        <v>#REF!</v>
      </c>
      <c r="I25" s="198" t="e">
        <f>IF(#REF!="","",((#REF!/100)*#REF!)*$U$3)</f>
        <v>#REF!</v>
      </c>
      <c r="J25" s="198" t="e">
        <f>IF(#REF!="","",((#REF!/100)*#REF!)*$U$3)</f>
        <v>#REF!</v>
      </c>
      <c r="K25" s="198" t="e">
        <f>IF(#REF!="","",((#REF!/100)*#REF!)*$U$3)</f>
        <v>#REF!</v>
      </c>
      <c r="L25" s="198" t="e">
        <f>IF(#REF!="","",((#REF!/100)*#REF!)*$U$3)</f>
        <v>#REF!</v>
      </c>
      <c r="M25" s="198" t="e">
        <f>IF(#REF!="","",((#REF!/100)*#REF!)*$U$3)</f>
        <v>#REF!</v>
      </c>
      <c r="N25" s="198" t="e">
        <f>IF(#REF!="","",((#REF!/100)*#REF!)*$U$3)</f>
        <v>#REF!</v>
      </c>
      <c r="O25" s="198" t="e">
        <f>IF(#REF!="","",((#REF!/100)*#REF!)*$U$3)</f>
        <v>#REF!</v>
      </c>
      <c r="P25" s="198" t="e">
        <f>IF(#REF!="","",((#REF!/100)*#REF!)*$U$3)</f>
        <v>#REF!</v>
      </c>
      <c r="Q25" s="198" t="e">
        <f>IF(#REF!="","",((#REF!/100)*#REF!)*$U$3)</f>
        <v>#REF!</v>
      </c>
      <c r="R25" s="198" t="e">
        <f>IF(#REF!="","",((#REF!/100)*#REF!)*$U$3)</f>
        <v>#REF!</v>
      </c>
      <c r="S25" s="198" t="e">
        <f>IF(#REF!="","",((#REF!/100)*#REF!)*$U$3)</f>
        <v>#REF!</v>
      </c>
      <c r="T25" s="67" t="e">
        <f t="shared" si="8"/>
        <v>#REF!</v>
      </c>
      <c r="U25" s="2" t="e">
        <f t="shared" si="6"/>
        <v>#REF!</v>
      </c>
    </row>
    <row r="26" spans="2:22" hidden="1" x14ac:dyDescent="0.2">
      <c r="B26" s="65"/>
      <c r="C26" s="66" t="e">
        <f t="shared" ref="C26" si="14">IF(B25="","","CONTRAPARTIDA")</f>
        <v>#REF!</v>
      </c>
      <c r="D26" s="66" t="s">
        <v>12</v>
      </c>
      <c r="E26" s="198" t="e">
        <f>IF(#REF!="","",((#REF!/100)*#REF!)*$U$4)</f>
        <v>#REF!</v>
      </c>
      <c r="F26" s="198" t="e">
        <f>IF(#REF!="","",((#REF!/100)*#REF!)*$U$4)</f>
        <v>#REF!</v>
      </c>
      <c r="G26" s="198" t="e">
        <f>IF(#REF!="","",((#REF!/100)*#REF!)*$U$4)</f>
        <v>#REF!</v>
      </c>
      <c r="H26" s="198" t="e">
        <f>IF(#REF!="","",((#REF!/100)*#REF!)*$U$4)</f>
        <v>#REF!</v>
      </c>
      <c r="I26" s="198" t="e">
        <f>IF(#REF!="","",((#REF!/100)*#REF!)*$U$4)</f>
        <v>#REF!</v>
      </c>
      <c r="J26" s="198" t="e">
        <f>IF(#REF!="","",((#REF!/100)*#REF!)*$U$4)</f>
        <v>#REF!</v>
      </c>
      <c r="K26" s="198" t="e">
        <f>IF(#REF!="","",((#REF!/100)*#REF!)*$U$4)</f>
        <v>#REF!</v>
      </c>
      <c r="L26" s="198" t="e">
        <f>IF(#REF!="","",((#REF!/100)*#REF!)*$U$4)</f>
        <v>#REF!</v>
      </c>
      <c r="M26" s="198" t="e">
        <f>IF(#REF!="","",((#REF!/100)*#REF!)*$U$4)</f>
        <v>#REF!</v>
      </c>
      <c r="N26" s="198" t="e">
        <f>IF(#REF!="","",((#REF!/100)*#REF!)*$U$4)</f>
        <v>#REF!</v>
      </c>
      <c r="O26" s="198" t="e">
        <f>IF(#REF!="","",((#REF!/100)*#REF!)*$U$4)</f>
        <v>#REF!</v>
      </c>
      <c r="P26" s="198" t="e">
        <f>IF(#REF!="","",((#REF!/100)*#REF!)*$U$4)</f>
        <v>#REF!</v>
      </c>
      <c r="Q26" s="198" t="e">
        <f>IF(#REF!="","",((#REF!/100)*#REF!)*$U$4)</f>
        <v>#REF!</v>
      </c>
      <c r="R26" s="198" t="e">
        <f>IF(#REF!="","",((#REF!/100)*#REF!)*$U$4)</f>
        <v>#REF!</v>
      </c>
      <c r="S26" s="198" t="e">
        <f>IF(#REF!="","",((#REF!/100)*#REF!)*$U$4)</f>
        <v>#REF!</v>
      </c>
      <c r="T26" s="67" t="e">
        <f t="shared" si="8"/>
        <v>#REF!</v>
      </c>
      <c r="U26" s="2" t="e">
        <f t="shared" si="6"/>
        <v>#REF!</v>
      </c>
      <c r="V26" s="68"/>
    </row>
    <row r="27" spans="2:22" hidden="1" x14ac:dyDescent="0.2">
      <c r="B27" s="65" t="e">
        <f>IF(#REF!="","",#REF!)</f>
        <v>#REF!</v>
      </c>
      <c r="C27" s="66" t="e">
        <f t="shared" ref="C27" si="15">IF(B27="","","FINANCIAMENTO")</f>
        <v>#REF!</v>
      </c>
      <c r="D27" s="66" t="s">
        <v>12</v>
      </c>
      <c r="E27" s="198" t="e">
        <f>IF(#REF!="","",((#REF!/100)*#REF!)*$U$3)</f>
        <v>#REF!</v>
      </c>
      <c r="F27" s="198" t="e">
        <f>IF(#REF!="","",((#REF!/100)*#REF!)*$U$3)</f>
        <v>#REF!</v>
      </c>
      <c r="G27" s="198" t="e">
        <f>IF(#REF!="","",((#REF!/100)*#REF!)*$U$3)</f>
        <v>#REF!</v>
      </c>
      <c r="H27" s="198" t="e">
        <f>IF(#REF!="","",((#REF!/100)*#REF!)*$U$3)</f>
        <v>#REF!</v>
      </c>
      <c r="I27" s="198" t="e">
        <f>IF(#REF!="","",((#REF!/100)*#REF!)*$U$3)</f>
        <v>#REF!</v>
      </c>
      <c r="J27" s="198" t="e">
        <f>IF(#REF!="","",((#REF!/100)*#REF!)*$U$3)</f>
        <v>#REF!</v>
      </c>
      <c r="K27" s="198" t="e">
        <f>IF(#REF!="","",((#REF!/100)*#REF!)*$U$3)</f>
        <v>#REF!</v>
      </c>
      <c r="L27" s="198" t="e">
        <f>IF(#REF!="","",((#REF!/100)*#REF!)*$U$3)</f>
        <v>#REF!</v>
      </c>
      <c r="M27" s="198" t="e">
        <f>IF(#REF!="","",((#REF!/100)*#REF!)*$U$3)</f>
        <v>#REF!</v>
      </c>
      <c r="N27" s="198" t="e">
        <f>IF(#REF!="","",((#REF!/100)*#REF!)*$U$3)</f>
        <v>#REF!</v>
      </c>
      <c r="O27" s="198" t="e">
        <f>IF(#REF!="","",((#REF!/100)*#REF!)*$U$3)</f>
        <v>#REF!</v>
      </c>
      <c r="P27" s="198" t="e">
        <f>IF(#REF!="","",((#REF!/100)*#REF!)*$U$3)</f>
        <v>#REF!</v>
      </c>
      <c r="Q27" s="198" t="e">
        <f>IF(#REF!="","",((#REF!/100)*#REF!)*$U$3)</f>
        <v>#REF!</v>
      </c>
      <c r="R27" s="198" t="e">
        <f>IF(#REF!="","",((#REF!/100)*#REF!)*$U$3)</f>
        <v>#REF!</v>
      </c>
      <c r="S27" s="198" t="e">
        <f>IF(#REF!="","",((#REF!/100)*#REF!)*$U$3)</f>
        <v>#REF!</v>
      </c>
      <c r="T27" s="67" t="e">
        <f t="shared" si="8"/>
        <v>#REF!</v>
      </c>
      <c r="U27" s="2" t="e">
        <f t="shared" si="6"/>
        <v>#REF!</v>
      </c>
    </row>
    <row r="28" spans="2:22" hidden="1" x14ac:dyDescent="0.2">
      <c r="B28" s="65"/>
      <c r="C28" s="66" t="e">
        <f t="shared" ref="C28" si="16">IF(B27="","","CONTRAPARTIDA")</f>
        <v>#REF!</v>
      </c>
      <c r="D28" s="66" t="s">
        <v>12</v>
      </c>
      <c r="E28" s="198" t="e">
        <f>IF(#REF!="","",((#REF!/100)*#REF!)*$U$4)</f>
        <v>#REF!</v>
      </c>
      <c r="F28" s="198" t="e">
        <f>IF(#REF!="","",((#REF!/100)*#REF!)*$U$4)</f>
        <v>#REF!</v>
      </c>
      <c r="G28" s="198" t="e">
        <f>IF(#REF!="","",((#REF!/100)*#REF!)*$U$4)</f>
        <v>#REF!</v>
      </c>
      <c r="H28" s="198" t="e">
        <f>IF(#REF!="","",((#REF!/100)*#REF!)*$U$4)</f>
        <v>#REF!</v>
      </c>
      <c r="I28" s="198" t="e">
        <f>IF(#REF!="","",((#REF!/100)*#REF!)*$U$4)</f>
        <v>#REF!</v>
      </c>
      <c r="J28" s="198" t="e">
        <f>IF(#REF!="","",((#REF!/100)*#REF!)*$U$4)</f>
        <v>#REF!</v>
      </c>
      <c r="K28" s="198" t="e">
        <f>IF(#REF!="","",((#REF!/100)*#REF!)*$U$4)</f>
        <v>#REF!</v>
      </c>
      <c r="L28" s="198" t="e">
        <f>IF(#REF!="","",((#REF!/100)*#REF!)*$U$4)</f>
        <v>#REF!</v>
      </c>
      <c r="M28" s="198" t="e">
        <f>IF(#REF!="","",((#REF!/100)*#REF!)*$U$4)</f>
        <v>#REF!</v>
      </c>
      <c r="N28" s="198" t="e">
        <f>IF(#REF!="","",((#REF!/100)*#REF!)*$U$4)</f>
        <v>#REF!</v>
      </c>
      <c r="O28" s="198" t="e">
        <f>IF(#REF!="","",((#REF!/100)*#REF!)*$U$4)</f>
        <v>#REF!</v>
      </c>
      <c r="P28" s="198" t="e">
        <f>IF(#REF!="","",((#REF!/100)*#REF!)*$U$4)</f>
        <v>#REF!</v>
      </c>
      <c r="Q28" s="198" t="e">
        <f>IF(#REF!="","",((#REF!/100)*#REF!)*$U$4)</f>
        <v>#REF!</v>
      </c>
      <c r="R28" s="198" t="e">
        <f>IF(#REF!="","",((#REF!/100)*#REF!)*$U$4)</f>
        <v>#REF!</v>
      </c>
      <c r="S28" s="198" t="e">
        <f>IF(#REF!="","",((#REF!/100)*#REF!)*$U$4)</f>
        <v>#REF!</v>
      </c>
      <c r="T28" s="67" t="e">
        <f t="shared" si="8"/>
        <v>#REF!</v>
      </c>
      <c r="U28" s="2" t="e">
        <f t="shared" si="6"/>
        <v>#REF!</v>
      </c>
      <c r="V28" s="68"/>
    </row>
    <row r="29" spans="2:22" hidden="1" x14ac:dyDescent="0.2">
      <c r="B29" s="65" t="e">
        <f>IF(#REF!="","",#REF!)</f>
        <v>#REF!</v>
      </c>
      <c r="C29" s="66" t="e">
        <f t="shared" ref="C29" si="17">IF(B29="","","FINANCIAMENTO")</f>
        <v>#REF!</v>
      </c>
      <c r="D29" s="66" t="s">
        <v>12</v>
      </c>
      <c r="E29" s="198" t="e">
        <f>IF(#REF!="","",((#REF!/100)*#REF!)*$U$3)</f>
        <v>#REF!</v>
      </c>
      <c r="F29" s="198" t="e">
        <f>IF(#REF!="","",((#REF!/100)*#REF!)*$U$3)</f>
        <v>#REF!</v>
      </c>
      <c r="G29" s="198" t="e">
        <f>IF(#REF!="","",((#REF!/100)*#REF!)*$U$3)</f>
        <v>#REF!</v>
      </c>
      <c r="H29" s="198" t="e">
        <f>IF(#REF!="","",((#REF!/100)*#REF!)*$U$3)</f>
        <v>#REF!</v>
      </c>
      <c r="I29" s="198" t="e">
        <f>IF(#REF!="","",((#REF!/100)*#REF!)*$U$3)</f>
        <v>#REF!</v>
      </c>
      <c r="J29" s="198" t="e">
        <f>IF(#REF!="","",((#REF!/100)*#REF!)*$U$3)</f>
        <v>#REF!</v>
      </c>
      <c r="K29" s="198" t="e">
        <f>IF(#REF!="","",((#REF!/100)*#REF!)*$U$3)</f>
        <v>#REF!</v>
      </c>
      <c r="L29" s="198" t="e">
        <f>IF(#REF!="","",((#REF!/100)*#REF!)*$U$3)</f>
        <v>#REF!</v>
      </c>
      <c r="M29" s="198" t="e">
        <f>IF(#REF!="","",((#REF!/100)*#REF!)*$U$3)</f>
        <v>#REF!</v>
      </c>
      <c r="N29" s="198" t="e">
        <f>IF(#REF!="","",((#REF!/100)*#REF!)*$U$3)</f>
        <v>#REF!</v>
      </c>
      <c r="O29" s="198" t="e">
        <f>IF(#REF!="","",((#REF!/100)*#REF!)*$U$3)</f>
        <v>#REF!</v>
      </c>
      <c r="P29" s="198" t="e">
        <f>IF(#REF!="","",((#REF!/100)*#REF!)*$U$3)</f>
        <v>#REF!</v>
      </c>
      <c r="Q29" s="198" t="e">
        <f>IF(#REF!="","",((#REF!/100)*#REF!)*$U$3)</f>
        <v>#REF!</v>
      </c>
      <c r="R29" s="198" t="e">
        <f>IF(#REF!="","",((#REF!/100)*#REF!)*$U$3)</f>
        <v>#REF!</v>
      </c>
      <c r="S29" s="198" t="e">
        <f>IF(#REF!="","",((#REF!/100)*#REF!)*$U$3)</f>
        <v>#REF!</v>
      </c>
      <c r="T29" s="67" t="e">
        <f t="shared" si="8"/>
        <v>#REF!</v>
      </c>
      <c r="U29" s="2" t="e">
        <f t="shared" si="6"/>
        <v>#REF!</v>
      </c>
    </row>
    <row r="30" spans="2:22" hidden="1" x14ac:dyDescent="0.2">
      <c r="B30" s="65"/>
      <c r="C30" s="66" t="e">
        <f t="shared" ref="C30" si="18">IF(B29="","","CONTRAPARTIDA")</f>
        <v>#REF!</v>
      </c>
      <c r="D30" s="66" t="s">
        <v>12</v>
      </c>
      <c r="E30" s="198" t="e">
        <f>IF(#REF!="","",((#REF!/100)*#REF!)*$U$4)</f>
        <v>#REF!</v>
      </c>
      <c r="F30" s="198" t="e">
        <f>IF(#REF!="","",((#REF!/100)*#REF!)*$U$4)</f>
        <v>#REF!</v>
      </c>
      <c r="G30" s="198" t="e">
        <f>IF(#REF!="","",((#REF!/100)*#REF!)*$U$4)</f>
        <v>#REF!</v>
      </c>
      <c r="H30" s="198" t="e">
        <f>IF(#REF!="","",((#REF!/100)*#REF!)*$U$4)</f>
        <v>#REF!</v>
      </c>
      <c r="I30" s="198" t="e">
        <f>IF(#REF!="","",((#REF!/100)*#REF!)*$U$4)</f>
        <v>#REF!</v>
      </c>
      <c r="J30" s="198" t="e">
        <f>IF(#REF!="","",((#REF!/100)*#REF!)*$U$4)</f>
        <v>#REF!</v>
      </c>
      <c r="K30" s="198" t="e">
        <f>IF(#REF!="","",((#REF!/100)*#REF!)*$U$4)</f>
        <v>#REF!</v>
      </c>
      <c r="L30" s="198" t="e">
        <f>IF(#REF!="","",((#REF!/100)*#REF!)*$U$4)</f>
        <v>#REF!</v>
      </c>
      <c r="M30" s="198" t="e">
        <f>IF(#REF!="","",((#REF!/100)*#REF!)*$U$4)</f>
        <v>#REF!</v>
      </c>
      <c r="N30" s="198" t="e">
        <f>IF(#REF!="","",((#REF!/100)*#REF!)*$U$4)</f>
        <v>#REF!</v>
      </c>
      <c r="O30" s="198" t="e">
        <f>IF(#REF!="","",((#REF!/100)*#REF!)*$U$4)</f>
        <v>#REF!</v>
      </c>
      <c r="P30" s="198" t="e">
        <f>IF(#REF!="","",((#REF!/100)*#REF!)*$U$4)</f>
        <v>#REF!</v>
      </c>
      <c r="Q30" s="198" t="e">
        <f>IF(#REF!="","",((#REF!/100)*#REF!)*$U$4)</f>
        <v>#REF!</v>
      </c>
      <c r="R30" s="198" t="e">
        <f>IF(#REF!="","",((#REF!/100)*#REF!)*$U$4)</f>
        <v>#REF!</v>
      </c>
      <c r="S30" s="198" t="e">
        <f>IF(#REF!="","",((#REF!/100)*#REF!)*$U$4)</f>
        <v>#REF!</v>
      </c>
      <c r="T30" s="67" t="e">
        <f t="shared" si="8"/>
        <v>#REF!</v>
      </c>
      <c r="U30" s="2" t="e">
        <f t="shared" si="6"/>
        <v>#REF!</v>
      </c>
      <c r="V30" s="68"/>
    </row>
    <row r="31" spans="2:22" x14ac:dyDescent="0.2">
      <c r="B31" s="65">
        <f>IF(B11="","",B11)</f>
        <v>3</v>
      </c>
      <c r="C31" s="66" t="str">
        <f t="shared" ref="C31" si="19">IF(B31="","","FINANCIAMENTO")</f>
        <v>FINANCIAMENTO</v>
      </c>
      <c r="D31" s="66" t="s">
        <v>12</v>
      </c>
      <c r="E31" s="198">
        <f t="shared" ref="E31:S31" si="20">IF(E11="","",((E11/100)*$T$11)*$U$3)</f>
        <v>6822.1440000000011</v>
      </c>
      <c r="F31" s="198">
        <f t="shared" si="20"/>
        <v>6822.1440000000011</v>
      </c>
      <c r="G31" s="198">
        <f t="shared" si="20"/>
        <v>6822.1440000000011</v>
      </c>
      <c r="H31" s="198">
        <f t="shared" si="20"/>
        <v>6822.1440000000011</v>
      </c>
      <c r="I31" s="198">
        <f t="shared" si="20"/>
        <v>6822.1440000000011</v>
      </c>
      <c r="J31" s="198">
        <f t="shared" si="20"/>
        <v>6822.1440000000011</v>
      </c>
      <c r="K31" s="198">
        <f t="shared" si="20"/>
        <v>6822.1440000000011</v>
      </c>
      <c r="L31" s="198">
        <f t="shared" si="20"/>
        <v>6822.1440000000011</v>
      </c>
      <c r="M31" s="198">
        <f t="shared" si="20"/>
        <v>6822.1440000000011</v>
      </c>
      <c r="N31" s="198">
        <f t="shared" si="20"/>
        <v>6822.1440000000011</v>
      </c>
      <c r="O31" s="198" t="str">
        <f t="shared" si="20"/>
        <v/>
      </c>
      <c r="P31" s="198" t="str">
        <f t="shared" si="20"/>
        <v/>
      </c>
      <c r="Q31" s="198" t="str">
        <f t="shared" si="20"/>
        <v/>
      </c>
      <c r="R31" s="198" t="str">
        <f t="shared" si="20"/>
        <v/>
      </c>
      <c r="S31" s="198" t="str">
        <f t="shared" si="20"/>
        <v/>
      </c>
      <c r="T31" s="67">
        <f t="shared" si="8"/>
        <v>68221.440000000017</v>
      </c>
      <c r="U31" s="2">
        <f t="shared" si="6"/>
        <v>9.3786867998525744E-2</v>
      </c>
    </row>
    <row r="32" spans="2:22" x14ac:dyDescent="0.2">
      <c r="B32" s="65"/>
      <c r="C32" s="66" t="str">
        <f>IF(B31="","","CONTRAPARTIDA")</f>
        <v>CONTRAPARTIDA</v>
      </c>
      <c r="D32" s="66" t="s">
        <v>12</v>
      </c>
      <c r="E32" s="198">
        <f t="shared" ref="E32:S32" si="21">IF(E11="","",((E11/100)*$T$11)*$U$4)</f>
        <v>758.01600000000008</v>
      </c>
      <c r="F32" s="198">
        <f t="shared" si="21"/>
        <v>758.01600000000008</v>
      </c>
      <c r="G32" s="198">
        <f t="shared" si="21"/>
        <v>758.01600000000008</v>
      </c>
      <c r="H32" s="198">
        <f t="shared" si="21"/>
        <v>758.01600000000008</v>
      </c>
      <c r="I32" s="198">
        <f t="shared" si="21"/>
        <v>758.01600000000008</v>
      </c>
      <c r="J32" s="198">
        <f t="shared" si="21"/>
        <v>758.01600000000008</v>
      </c>
      <c r="K32" s="198">
        <f t="shared" si="21"/>
        <v>758.01600000000008</v>
      </c>
      <c r="L32" s="198">
        <f t="shared" si="21"/>
        <v>758.01600000000008</v>
      </c>
      <c r="M32" s="198">
        <f t="shared" si="21"/>
        <v>758.01600000000008</v>
      </c>
      <c r="N32" s="198">
        <f t="shared" si="21"/>
        <v>758.01600000000008</v>
      </c>
      <c r="O32" s="198" t="str">
        <f t="shared" si="21"/>
        <v/>
      </c>
      <c r="P32" s="198" t="str">
        <f t="shared" si="21"/>
        <v/>
      </c>
      <c r="Q32" s="198" t="str">
        <f t="shared" si="21"/>
        <v/>
      </c>
      <c r="R32" s="198" t="str">
        <f t="shared" si="21"/>
        <v/>
      </c>
      <c r="S32" s="198" t="str">
        <f t="shared" si="21"/>
        <v/>
      </c>
      <c r="T32" s="67">
        <f t="shared" si="8"/>
        <v>7580.16</v>
      </c>
      <c r="U32" s="2">
        <f t="shared" si="6"/>
        <v>1.0420763110947303E-2</v>
      </c>
      <c r="V32" s="68"/>
    </row>
    <row r="33" spans="2:22" x14ac:dyDescent="0.2">
      <c r="B33" s="65">
        <f>IF(B12="","",B12)</f>
        <v>4</v>
      </c>
      <c r="C33" s="66" t="str">
        <f t="shared" ref="C33" si="22">IF(B33="","","FINANCIAMENTO")</f>
        <v>FINANCIAMENTO</v>
      </c>
      <c r="D33" s="66" t="s">
        <v>12</v>
      </c>
      <c r="E33" s="198">
        <f t="shared" ref="E33:S33" si="23">IF(E12="","",((E12/100)*$T$12)*$U$3)</f>
        <v>18289.151999999998</v>
      </c>
      <c r="F33" s="198">
        <f t="shared" si="23"/>
        <v>18289.151999999998</v>
      </c>
      <c r="G33" s="198">
        <f t="shared" si="23"/>
        <v>18289.151999999998</v>
      </c>
      <c r="H33" s="198">
        <f t="shared" si="23"/>
        <v>18289.151999999998</v>
      </c>
      <c r="I33" s="198">
        <f t="shared" si="23"/>
        <v>18289.151999999998</v>
      </c>
      <c r="J33" s="198">
        <f t="shared" si="23"/>
        <v>18289.151999999998</v>
      </c>
      <c r="K33" s="198">
        <f t="shared" si="23"/>
        <v>18289.151999999998</v>
      </c>
      <c r="L33" s="198">
        <f t="shared" si="23"/>
        <v>18289.151999999998</v>
      </c>
      <c r="M33" s="198">
        <f t="shared" si="23"/>
        <v>18289.151999999998</v>
      </c>
      <c r="N33" s="198">
        <f t="shared" si="23"/>
        <v>18289.151999999998</v>
      </c>
      <c r="O33" s="198" t="str">
        <f t="shared" si="23"/>
        <v/>
      </c>
      <c r="P33" s="198" t="str">
        <f t="shared" si="23"/>
        <v/>
      </c>
      <c r="Q33" s="198" t="str">
        <f t="shared" si="23"/>
        <v/>
      </c>
      <c r="R33" s="198" t="str">
        <f t="shared" si="23"/>
        <v/>
      </c>
      <c r="S33" s="198" t="str">
        <f t="shared" si="23"/>
        <v/>
      </c>
      <c r="T33" s="67">
        <f t="shared" si="8"/>
        <v>182891.51999999999</v>
      </c>
      <c r="U33" s="2">
        <f t="shared" si="6"/>
        <v>0.25142862484711148</v>
      </c>
    </row>
    <row r="34" spans="2:22" x14ac:dyDescent="0.2">
      <c r="B34" s="65"/>
      <c r="C34" s="66" t="str">
        <f t="shared" ref="C34" si="24">IF(B33="","","CONTRAPARTIDA")</f>
        <v>CONTRAPARTIDA</v>
      </c>
      <c r="D34" s="66" t="s">
        <v>12</v>
      </c>
      <c r="E34" s="198">
        <f t="shared" ref="E34:S34" si="25">IF(E12="","",((E12/100)*$T$12)*$U$4)</f>
        <v>2032.1279999999999</v>
      </c>
      <c r="F34" s="198">
        <f t="shared" si="25"/>
        <v>2032.1279999999999</v>
      </c>
      <c r="G34" s="198">
        <f t="shared" si="25"/>
        <v>2032.1279999999999</v>
      </c>
      <c r="H34" s="198">
        <f t="shared" si="25"/>
        <v>2032.1279999999999</v>
      </c>
      <c r="I34" s="198">
        <f t="shared" si="25"/>
        <v>2032.1279999999999</v>
      </c>
      <c r="J34" s="198">
        <f t="shared" si="25"/>
        <v>2032.1279999999999</v>
      </c>
      <c r="K34" s="198">
        <f t="shared" si="25"/>
        <v>2032.1279999999999</v>
      </c>
      <c r="L34" s="198">
        <f t="shared" si="25"/>
        <v>2032.1279999999999</v>
      </c>
      <c r="M34" s="198">
        <f t="shared" si="25"/>
        <v>2032.1279999999999</v>
      </c>
      <c r="N34" s="198">
        <f t="shared" si="25"/>
        <v>2032.1279999999999</v>
      </c>
      <c r="O34" s="198" t="str">
        <f t="shared" si="25"/>
        <v/>
      </c>
      <c r="P34" s="198" t="str">
        <f t="shared" si="25"/>
        <v/>
      </c>
      <c r="Q34" s="198" t="str">
        <f t="shared" si="25"/>
        <v/>
      </c>
      <c r="R34" s="198" t="str">
        <f t="shared" si="25"/>
        <v/>
      </c>
      <c r="S34" s="198" t="str">
        <f t="shared" si="25"/>
        <v/>
      </c>
      <c r="T34" s="67">
        <f t="shared" si="8"/>
        <v>20321.280000000002</v>
      </c>
      <c r="U34" s="2">
        <f t="shared" si="6"/>
        <v>2.7936513871901283E-2</v>
      </c>
      <c r="V34" s="68"/>
    </row>
    <row r="35" spans="2:22" x14ac:dyDescent="0.2">
      <c r="B35" s="65">
        <f>IF(B13="","",B13)</f>
        <v>5</v>
      </c>
      <c r="C35" s="66" t="str">
        <f t="shared" ref="C35" si="26">IF(B35="","","FINANCIAMENTO")</f>
        <v>FINANCIAMENTO</v>
      </c>
      <c r="D35" s="66" t="s">
        <v>12</v>
      </c>
      <c r="E35" s="198">
        <f t="shared" ref="E35:S35" si="27">IF(E13="","",((E13/100)*$T$13)*$U$3)</f>
        <v>8527.68</v>
      </c>
      <c r="F35" s="198">
        <f t="shared" si="27"/>
        <v>8527.68</v>
      </c>
      <c r="G35" s="198">
        <f t="shared" si="27"/>
        <v>8527.68</v>
      </c>
      <c r="H35" s="198">
        <f t="shared" si="27"/>
        <v>8527.68</v>
      </c>
      <c r="I35" s="198">
        <f t="shared" si="27"/>
        <v>8527.68</v>
      </c>
      <c r="J35" s="198">
        <f t="shared" si="27"/>
        <v>8527.68</v>
      </c>
      <c r="K35" s="198">
        <f t="shared" si="27"/>
        <v>8527.68</v>
      </c>
      <c r="L35" s="198">
        <f t="shared" si="27"/>
        <v>8527.68</v>
      </c>
      <c r="M35" s="198">
        <f t="shared" si="27"/>
        <v>8527.68</v>
      </c>
      <c r="N35" s="198">
        <f t="shared" si="27"/>
        <v>8527.68</v>
      </c>
      <c r="O35" s="198" t="str">
        <f t="shared" si="27"/>
        <v/>
      </c>
      <c r="P35" s="198" t="str">
        <f t="shared" si="27"/>
        <v/>
      </c>
      <c r="Q35" s="198" t="str">
        <f t="shared" si="27"/>
        <v/>
      </c>
      <c r="R35" s="198" t="str">
        <f t="shared" si="27"/>
        <v/>
      </c>
      <c r="S35" s="198" t="str">
        <f t="shared" si="27"/>
        <v/>
      </c>
      <c r="T35" s="67">
        <f t="shared" si="8"/>
        <v>85276.799999999988</v>
      </c>
      <c r="U35" s="2">
        <f t="shared" si="6"/>
        <v>0.11723358499815713</v>
      </c>
    </row>
    <row r="36" spans="2:22" x14ac:dyDescent="0.2">
      <c r="B36" s="65"/>
      <c r="C36" s="66" t="str">
        <f t="shared" ref="C36" si="28">IF(B35="","","CONTRAPARTIDA")</f>
        <v>CONTRAPARTIDA</v>
      </c>
      <c r="D36" s="66" t="s">
        <v>12</v>
      </c>
      <c r="E36" s="198">
        <f t="shared" ref="E36:S36" si="29">IF(E13="","",((E13/100)*$T$13)*$U$4)</f>
        <v>947.5200000000001</v>
      </c>
      <c r="F36" s="198">
        <f t="shared" si="29"/>
        <v>947.5200000000001</v>
      </c>
      <c r="G36" s="198">
        <f t="shared" si="29"/>
        <v>947.5200000000001</v>
      </c>
      <c r="H36" s="198">
        <f t="shared" si="29"/>
        <v>947.5200000000001</v>
      </c>
      <c r="I36" s="198">
        <f t="shared" si="29"/>
        <v>947.5200000000001</v>
      </c>
      <c r="J36" s="198">
        <f t="shared" si="29"/>
        <v>947.5200000000001</v>
      </c>
      <c r="K36" s="198">
        <f t="shared" si="29"/>
        <v>947.5200000000001</v>
      </c>
      <c r="L36" s="198">
        <f t="shared" si="29"/>
        <v>947.5200000000001</v>
      </c>
      <c r="M36" s="198">
        <f t="shared" si="29"/>
        <v>947.5200000000001</v>
      </c>
      <c r="N36" s="198">
        <f t="shared" si="29"/>
        <v>947.5200000000001</v>
      </c>
      <c r="O36" s="198" t="str">
        <f t="shared" si="29"/>
        <v/>
      </c>
      <c r="P36" s="198" t="str">
        <f t="shared" si="29"/>
        <v/>
      </c>
      <c r="Q36" s="198" t="str">
        <f t="shared" si="29"/>
        <v/>
      </c>
      <c r="R36" s="198" t="str">
        <f t="shared" si="29"/>
        <v/>
      </c>
      <c r="S36" s="198" t="str">
        <f t="shared" si="29"/>
        <v/>
      </c>
      <c r="T36" s="67">
        <f t="shared" si="8"/>
        <v>9475.2000000000025</v>
      </c>
      <c r="U36" s="2">
        <f t="shared" si="6"/>
        <v>1.3025953888684131E-2</v>
      </c>
      <c r="V36" s="68"/>
    </row>
    <row r="37" spans="2:22" x14ac:dyDescent="0.2">
      <c r="B37" s="65">
        <f>IF(B14="","",B14)</f>
        <v>6</v>
      </c>
      <c r="C37" s="66" t="str">
        <f t="shared" ref="C37" si="30">IF(B37="","","FINANCIAMENTO")</f>
        <v>FINANCIAMENTO</v>
      </c>
      <c r="D37" s="66" t="s">
        <v>12</v>
      </c>
      <c r="E37" s="198">
        <f t="shared" ref="E37:S37" si="31">IF(E14="","",((E14/100)*$T$14)*$U$3)</f>
        <v>11662.691400000002</v>
      </c>
      <c r="F37" s="198">
        <f t="shared" si="31"/>
        <v>11662.691400000002</v>
      </c>
      <c r="G37" s="198">
        <f t="shared" si="31"/>
        <v>11662.691400000002</v>
      </c>
      <c r="H37" s="198">
        <f t="shared" si="31"/>
        <v>11662.691400000002</v>
      </c>
      <c r="I37" s="198">
        <f t="shared" si="31"/>
        <v>11662.691400000002</v>
      </c>
      <c r="J37" s="198">
        <f t="shared" si="31"/>
        <v>11662.691400000002</v>
      </c>
      <c r="K37" s="198">
        <f t="shared" si="31"/>
        <v>11662.691400000002</v>
      </c>
      <c r="L37" s="198">
        <f t="shared" si="31"/>
        <v>11662.691400000002</v>
      </c>
      <c r="M37" s="198">
        <f t="shared" si="31"/>
        <v>11662.691400000002</v>
      </c>
      <c r="N37" s="198">
        <f t="shared" si="31"/>
        <v>11662.691400000002</v>
      </c>
      <c r="O37" s="198" t="str">
        <f t="shared" si="31"/>
        <v/>
      </c>
      <c r="P37" s="198" t="str">
        <f t="shared" si="31"/>
        <v/>
      </c>
      <c r="Q37" s="198" t="str">
        <f t="shared" si="31"/>
        <v/>
      </c>
      <c r="R37" s="198" t="str">
        <f t="shared" si="31"/>
        <v/>
      </c>
      <c r="S37" s="198" t="str">
        <f t="shared" si="31"/>
        <v/>
      </c>
      <c r="T37" s="67">
        <f t="shared" ref="T37:T38" si="32">SUM(E37:S37)</f>
        <v>116626.91399999999</v>
      </c>
      <c r="U37" s="2">
        <f t="shared" si="6"/>
        <v>0.16033189842362475</v>
      </c>
    </row>
    <row r="38" spans="2:22" x14ac:dyDescent="0.2">
      <c r="B38" s="65"/>
      <c r="C38" s="66" t="str">
        <f t="shared" ref="C38" si="33">IF(B37="","","CONTRAPARTIDA")</f>
        <v>CONTRAPARTIDA</v>
      </c>
      <c r="D38" s="66" t="s">
        <v>12</v>
      </c>
      <c r="E38" s="198">
        <f t="shared" ref="E38:S38" si="34">IF(E14="","",((E14/100)*$T$14)*$U$4)</f>
        <v>1295.8546000000003</v>
      </c>
      <c r="F38" s="198">
        <f t="shared" si="34"/>
        <v>1295.8546000000003</v>
      </c>
      <c r="G38" s="198">
        <f t="shared" si="34"/>
        <v>1295.8546000000003</v>
      </c>
      <c r="H38" s="198">
        <f t="shared" si="34"/>
        <v>1295.8546000000003</v>
      </c>
      <c r="I38" s="198">
        <f t="shared" si="34"/>
        <v>1295.8546000000003</v>
      </c>
      <c r="J38" s="198">
        <f t="shared" si="34"/>
        <v>1295.8546000000003</v>
      </c>
      <c r="K38" s="198">
        <f t="shared" si="34"/>
        <v>1295.8546000000003</v>
      </c>
      <c r="L38" s="198">
        <f t="shared" si="34"/>
        <v>1295.8546000000003</v>
      </c>
      <c r="M38" s="198">
        <f t="shared" si="34"/>
        <v>1295.8546000000003</v>
      </c>
      <c r="N38" s="198">
        <f t="shared" si="34"/>
        <v>1295.8546000000003</v>
      </c>
      <c r="O38" s="198" t="str">
        <f t="shared" si="34"/>
        <v/>
      </c>
      <c r="P38" s="198" t="str">
        <f t="shared" si="34"/>
        <v/>
      </c>
      <c r="Q38" s="198" t="str">
        <f t="shared" si="34"/>
        <v/>
      </c>
      <c r="R38" s="198" t="str">
        <f t="shared" si="34"/>
        <v/>
      </c>
      <c r="S38" s="198" t="str">
        <f t="shared" si="34"/>
        <v/>
      </c>
      <c r="T38" s="67">
        <f t="shared" si="32"/>
        <v>12958.546000000004</v>
      </c>
      <c r="U38" s="2">
        <f t="shared" si="6"/>
        <v>1.7814655380402757E-2</v>
      </c>
      <c r="V38" s="68"/>
    </row>
    <row r="39" spans="2:22" x14ac:dyDescent="0.2">
      <c r="B39" s="65">
        <f>IF(B15="","",B15)</f>
        <v>7</v>
      </c>
      <c r="C39" s="66" t="str">
        <f t="shared" ref="C39" si="35">IF(B39="","","FINANCIAMENTO")</f>
        <v>FINANCIAMENTO</v>
      </c>
      <c r="D39" s="66" t="s">
        <v>12</v>
      </c>
      <c r="E39" s="198">
        <f t="shared" ref="E39:S39" si="36">IF(E15="","",((E15/100)*$T$15)*$U$3)</f>
        <v>5287.1616000000004</v>
      </c>
      <c r="F39" s="198">
        <f t="shared" si="36"/>
        <v>5287.1616000000004</v>
      </c>
      <c r="G39" s="198">
        <f t="shared" si="36"/>
        <v>5287.1616000000004</v>
      </c>
      <c r="H39" s="198">
        <f t="shared" si="36"/>
        <v>5287.1616000000004</v>
      </c>
      <c r="I39" s="198">
        <f t="shared" si="36"/>
        <v>5287.1616000000004</v>
      </c>
      <c r="J39" s="198">
        <f t="shared" si="36"/>
        <v>5287.1616000000004</v>
      </c>
      <c r="K39" s="198">
        <f t="shared" si="36"/>
        <v>5287.1616000000004</v>
      </c>
      <c r="L39" s="198">
        <f t="shared" si="36"/>
        <v>5287.1616000000004</v>
      </c>
      <c r="M39" s="198">
        <f t="shared" si="36"/>
        <v>5287.1616000000004</v>
      </c>
      <c r="N39" s="198">
        <f t="shared" si="36"/>
        <v>5287.1616000000004</v>
      </c>
      <c r="O39" s="198" t="str">
        <f t="shared" si="36"/>
        <v/>
      </c>
      <c r="P39" s="198" t="str">
        <f t="shared" si="36"/>
        <v/>
      </c>
      <c r="Q39" s="198" t="str">
        <f t="shared" si="36"/>
        <v/>
      </c>
      <c r="R39" s="198" t="str">
        <f t="shared" si="36"/>
        <v/>
      </c>
      <c r="S39" s="198" t="str">
        <f t="shared" si="36"/>
        <v/>
      </c>
      <c r="T39" s="67">
        <f t="shared" ref="T39:T40" si="37">SUM(E39:S39)</f>
        <v>52871.616000000002</v>
      </c>
      <c r="U39" s="2">
        <f t="shared" ref="U39:U40" si="38">IF($T$45=0,0,(T39/$T$45))</f>
        <v>7.268482269885744E-2</v>
      </c>
    </row>
    <row r="40" spans="2:22" x14ac:dyDescent="0.2">
      <c r="B40" s="65"/>
      <c r="C40" s="66" t="str">
        <f t="shared" ref="C40" si="39">IF(B39="","","CONTRAPARTIDA")</f>
        <v>CONTRAPARTIDA</v>
      </c>
      <c r="D40" s="66" t="s">
        <v>12</v>
      </c>
      <c r="E40" s="198">
        <f t="shared" ref="E40:S40" si="40">IF(E15="","",((E15/100)*$T$15)*$U$4)</f>
        <v>587.4624</v>
      </c>
      <c r="F40" s="198">
        <f t="shared" si="40"/>
        <v>587.4624</v>
      </c>
      <c r="G40" s="198">
        <f t="shared" si="40"/>
        <v>587.4624</v>
      </c>
      <c r="H40" s="198">
        <f t="shared" si="40"/>
        <v>587.4624</v>
      </c>
      <c r="I40" s="198">
        <f t="shared" si="40"/>
        <v>587.4624</v>
      </c>
      <c r="J40" s="198">
        <f t="shared" si="40"/>
        <v>587.4624</v>
      </c>
      <c r="K40" s="198">
        <f t="shared" si="40"/>
        <v>587.4624</v>
      </c>
      <c r="L40" s="198">
        <f t="shared" si="40"/>
        <v>587.4624</v>
      </c>
      <c r="M40" s="198">
        <f t="shared" si="40"/>
        <v>587.4624</v>
      </c>
      <c r="N40" s="198">
        <f t="shared" si="40"/>
        <v>587.4624</v>
      </c>
      <c r="O40" s="198" t="str">
        <f t="shared" si="40"/>
        <v/>
      </c>
      <c r="P40" s="198" t="str">
        <f t="shared" si="40"/>
        <v/>
      </c>
      <c r="Q40" s="198" t="str">
        <f t="shared" si="40"/>
        <v/>
      </c>
      <c r="R40" s="198" t="str">
        <f t="shared" si="40"/>
        <v/>
      </c>
      <c r="S40" s="198" t="str">
        <f t="shared" si="40"/>
        <v/>
      </c>
      <c r="T40" s="67">
        <f t="shared" si="37"/>
        <v>5874.6240000000007</v>
      </c>
      <c r="U40" s="2">
        <f t="shared" si="38"/>
        <v>8.0760914109841604E-3</v>
      </c>
      <c r="V40" s="68"/>
    </row>
    <row r="41" spans="2:22" x14ac:dyDescent="0.2">
      <c r="B41" s="69"/>
      <c r="C41" s="70"/>
      <c r="D41" s="70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3"/>
    </row>
    <row r="42" spans="2:22" x14ac:dyDescent="0.2">
      <c r="B42" s="72" t="s">
        <v>14</v>
      </c>
      <c r="C42" s="73" t="s">
        <v>11</v>
      </c>
      <c r="D42" s="73" t="s">
        <v>12</v>
      </c>
      <c r="E42" s="74">
        <f>SUMIF($C$21:$C$40,"FINANCIAMENTO",E$21:E$40)</f>
        <v>67687.01460000001</v>
      </c>
      <c r="F42" s="74">
        <f t="shared" ref="F42:U42" si="41">SUMIF($C$21:$C$40,"FINANCIAMENTO",F$21:F$40)</f>
        <v>65220.150600000001</v>
      </c>
      <c r="G42" s="74">
        <f t="shared" si="41"/>
        <v>65220.150600000001</v>
      </c>
      <c r="H42" s="74">
        <f t="shared" si="41"/>
        <v>65220.150600000001</v>
      </c>
      <c r="I42" s="74">
        <f t="shared" si="41"/>
        <v>79851.472200000004</v>
      </c>
      <c r="J42" s="74">
        <f t="shared" si="41"/>
        <v>72535.811400000006</v>
      </c>
      <c r="K42" s="74">
        <f t="shared" si="41"/>
        <v>65220.150600000001</v>
      </c>
      <c r="L42" s="74">
        <f t="shared" si="41"/>
        <v>65220.150600000001</v>
      </c>
      <c r="M42" s="74">
        <f t="shared" si="41"/>
        <v>57904.489800000003</v>
      </c>
      <c r="N42" s="74">
        <f t="shared" si="41"/>
        <v>50588.828999999998</v>
      </c>
      <c r="O42" s="74">
        <f t="shared" si="41"/>
        <v>0</v>
      </c>
      <c r="P42" s="74">
        <f>SUMIF($C$21:$C$40,"FINANCIAMENTO",P$21:P$40)</f>
        <v>0</v>
      </c>
      <c r="Q42" s="74">
        <f t="shared" si="41"/>
        <v>0</v>
      </c>
      <c r="R42" s="74">
        <f t="shared" si="41"/>
        <v>0</v>
      </c>
      <c r="S42" s="74">
        <f t="shared" si="41"/>
        <v>0</v>
      </c>
      <c r="T42" s="74">
        <f t="shared" si="41"/>
        <v>654668.36600000004</v>
      </c>
      <c r="U42" s="4">
        <f t="shared" si="41"/>
        <v>0.89999999450103252</v>
      </c>
    </row>
    <row r="43" spans="2:22" x14ac:dyDescent="0.2">
      <c r="B43" s="72" t="s">
        <v>19</v>
      </c>
      <c r="C43" s="75" t="s">
        <v>13</v>
      </c>
      <c r="D43" s="75" t="s">
        <v>12</v>
      </c>
      <c r="E43" s="74">
        <f t="shared" ref="E43:U43" si="42">SUMIF($C$21:$C$40,"CONTRAPARTIDA",E$21:E$40)</f>
        <v>7520.7794000000013</v>
      </c>
      <c r="F43" s="74">
        <f t="shared" si="42"/>
        <v>7246.6834000000017</v>
      </c>
      <c r="G43" s="74">
        <f t="shared" si="42"/>
        <v>7246.6834000000017</v>
      </c>
      <c r="H43" s="74">
        <f t="shared" si="42"/>
        <v>7246.6834000000017</v>
      </c>
      <c r="I43" s="74">
        <f t="shared" si="42"/>
        <v>8872.3858000000018</v>
      </c>
      <c r="J43" s="74">
        <f t="shared" si="42"/>
        <v>8059.5346000000009</v>
      </c>
      <c r="K43" s="74">
        <f t="shared" si="42"/>
        <v>7246.6834000000017</v>
      </c>
      <c r="L43" s="74">
        <f t="shared" si="42"/>
        <v>7246.6834000000017</v>
      </c>
      <c r="M43" s="74">
        <f t="shared" si="42"/>
        <v>6433.8322000000016</v>
      </c>
      <c r="N43" s="74">
        <f t="shared" si="42"/>
        <v>5620.9810000000007</v>
      </c>
      <c r="O43" s="74">
        <f t="shared" si="42"/>
        <v>0</v>
      </c>
      <c r="P43" s="74">
        <f t="shared" si="42"/>
        <v>0</v>
      </c>
      <c r="Q43" s="74">
        <f t="shared" si="42"/>
        <v>0</v>
      </c>
      <c r="R43" s="74">
        <f t="shared" si="42"/>
        <v>0</v>
      </c>
      <c r="S43" s="74">
        <f t="shared" si="42"/>
        <v>0</v>
      </c>
      <c r="T43" s="74">
        <f t="shared" si="42"/>
        <v>72740.930000000008</v>
      </c>
      <c r="U43" s="4">
        <f t="shared" si="42"/>
        <v>0.10000000000000002</v>
      </c>
    </row>
    <row r="44" spans="2:22" x14ac:dyDescent="0.2">
      <c r="B44" s="76"/>
      <c r="C44" s="70"/>
      <c r="D44" s="70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3"/>
    </row>
    <row r="45" spans="2:22" ht="13.5" thickBot="1" x14ac:dyDescent="0.25">
      <c r="B45" s="221" t="s">
        <v>61</v>
      </c>
      <c r="C45" s="77"/>
      <c r="D45" s="78" t="s">
        <v>12</v>
      </c>
      <c r="E45" s="79">
        <f t="shared" ref="E45:S45" si="43">SUM(E42:E43)</f>
        <v>75207.794000000009</v>
      </c>
      <c r="F45" s="79">
        <f t="shared" si="43"/>
        <v>72466.834000000003</v>
      </c>
      <c r="G45" s="79">
        <f t="shared" si="43"/>
        <v>72466.834000000003</v>
      </c>
      <c r="H45" s="79">
        <f t="shared" si="43"/>
        <v>72466.834000000003</v>
      </c>
      <c r="I45" s="79">
        <f t="shared" si="43"/>
        <v>88723.858000000007</v>
      </c>
      <c r="J45" s="79">
        <f t="shared" si="43"/>
        <v>80595.346000000005</v>
      </c>
      <c r="K45" s="80">
        <f t="shared" si="43"/>
        <v>72466.834000000003</v>
      </c>
      <c r="L45" s="80">
        <f t="shared" si="43"/>
        <v>72466.834000000003</v>
      </c>
      <c r="M45" s="80">
        <f t="shared" ref="M45:O45" si="44">SUM(M42:M43)</f>
        <v>64338.322000000007</v>
      </c>
      <c r="N45" s="80">
        <f t="shared" si="44"/>
        <v>56209.81</v>
      </c>
      <c r="O45" s="80">
        <f t="shared" si="44"/>
        <v>0</v>
      </c>
      <c r="P45" s="80">
        <f t="shared" si="43"/>
        <v>0</v>
      </c>
      <c r="Q45" s="80">
        <f t="shared" si="43"/>
        <v>0</v>
      </c>
      <c r="R45" s="80">
        <f t="shared" si="43"/>
        <v>0</v>
      </c>
      <c r="S45" s="80">
        <f t="shared" si="43"/>
        <v>0</v>
      </c>
      <c r="T45" s="80">
        <f>SUM(E45:S45)</f>
        <v>727409.3</v>
      </c>
      <c r="U45" s="5">
        <f>SUM(U42:U43)</f>
        <v>0.9999999945010325</v>
      </c>
    </row>
    <row r="46" spans="2:22" ht="14.25" thickTop="1" thickBot="1" x14ac:dyDescent="0.25">
      <c r="B46" s="220" t="s">
        <v>60</v>
      </c>
      <c r="C46" s="81"/>
      <c r="D46" s="82" t="s">
        <v>12</v>
      </c>
      <c r="E46" s="6">
        <f>IF($T$45=0,0,E45/$T$45)</f>
        <v>0.10339130115603416</v>
      </c>
      <c r="F46" s="6">
        <f t="shared" ref="F46:T46" si="45">IF($T$45=0,0,F45/$T$45)</f>
        <v>9.9623188760440642E-2</v>
      </c>
      <c r="G46" s="6">
        <f t="shared" si="45"/>
        <v>9.9623188760440642E-2</v>
      </c>
      <c r="H46" s="6">
        <f t="shared" si="45"/>
        <v>9.9623188760440642E-2</v>
      </c>
      <c r="I46" s="6">
        <f t="shared" si="45"/>
        <v>0.12197239985796167</v>
      </c>
      <c r="J46" s="6">
        <f t="shared" si="45"/>
        <v>0.11079779430920116</v>
      </c>
      <c r="K46" s="6">
        <f t="shared" si="45"/>
        <v>9.9623188760440642E-2</v>
      </c>
      <c r="L46" s="6">
        <f t="shared" si="45"/>
        <v>9.9623188760440642E-2</v>
      </c>
      <c r="M46" s="6">
        <f t="shared" ref="M46:O46" si="46">IF($T$45=0,0,M45/$T$45)</f>
        <v>8.8448583211680143E-2</v>
      </c>
      <c r="N46" s="6">
        <f t="shared" si="46"/>
        <v>7.7273977662919616E-2</v>
      </c>
      <c r="O46" s="6">
        <f t="shared" si="46"/>
        <v>0</v>
      </c>
      <c r="P46" s="6">
        <f t="shared" si="45"/>
        <v>0</v>
      </c>
      <c r="Q46" s="6">
        <f t="shared" si="45"/>
        <v>0</v>
      </c>
      <c r="R46" s="6">
        <f t="shared" si="45"/>
        <v>0</v>
      </c>
      <c r="S46" s="6">
        <f t="shared" si="45"/>
        <v>0</v>
      </c>
      <c r="T46" s="6">
        <f t="shared" si="45"/>
        <v>1</v>
      </c>
      <c r="U46" s="7">
        <f>SUM(U42:U43)</f>
        <v>0.9999999945010325</v>
      </c>
    </row>
    <row r="47" spans="2:22" ht="13.5" thickTop="1" x14ac:dyDescent="0.2">
      <c r="B47" s="83" t="s">
        <v>51</v>
      </c>
      <c r="D47" s="211" t="s">
        <v>15</v>
      </c>
      <c r="E47" s="85"/>
      <c r="F47" s="85"/>
      <c r="G47" s="85"/>
      <c r="H47" s="85"/>
      <c r="I47" s="86"/>
      <c r="J47" s="87"/>
      <c r="K47" s="87"/>
      <c r="L47" s="87"/>
      <c r="M47" s="88"/>
      <c r="N47" s="88"/>
      <c r="O47" s="88"/>
      <c r="P47" s="212" t="s">
        <v>49</v>
      </c>
      <c r="Q47" s="88"/>
      <c r="R47" s="88"/>
      <c r="S47" s="88"/>
      <c r="T47" s="88"/>
      <c r="U47" s="89"/>
    </row>
    <row r="48" spans="2:22" x14ac:dyDescent="0.2">
      <c r="B48" s="83"/>
      <c r="D48" s="84"/>
      <c r="E48" s="85"/>
      <c r="F48" s="85"/>
      <c r="G48" s="85"/>
      <c r="H48" s="85"/>
      <c r="I48" s="90"/>
      <c r="J48" s="87"/>
      <c r="K48" s="87"/>
      <c r="L48" s="87"/>
      <c r="M48" s="87"/>
      <c r="N48" s="87"/>
      <c r="O48" s="87"/>
      <c r="P48" s="91"/>
      <c r="Q48" s="87"/>
      <c r="R48" s="87"/>
      <c r="S48" s="87"/>
      <c r="T48" s="87"/>
      <c r="U48" s="92"/>
    </row>
    <row r="49" spans="2:21" x14ac:dyDescent="0.2">
      <c r="B49" s="83"/>
      <c r="D49" s="84"/>
      <c r="E49" s="85"/>
      <c r="F49" s="85"/>
      <c r="G49" s="85"/>
      <c r="H49" s="85"/>
      <c r="I49" s="90"/>
      <c r="J49" s="87"/>
      <c r="K49" s="87"/>
      <c r="L49" s="87"/>
      <c r="M49" s="87"/>
      <c r="N49" s="87"/>
      <c r="O49" s="87"/>
      <c r="P49" s="91"/>
      <c r="Q49" s="87"/>
      <c r="R49" s="87"/>
      <c r="S49" s="87"/>
      <c r="T49" s="87"/>
      <c r="U49" s="92"/>
    </row>
    <row r="50" spans="2:21" ht="96" customHeight="1" thickBot="1" x14ac:dyDescent="0.25">
      <c r="B50" s="93"/>
      <c r="C50" s="94"/>
      <c r="D50" s="95"/>
      <c r="E50" s="96"/>
      <c r="F50" s="96"/>
      <c r="G50" s="96"/>
      <c r="H50" s="97"/>
      <c r="I50" s="98"/>
      <c r="J50" s="97"/>
      <c r="K50" s="99"/>
      <c r="L50" s="99"/>
      <c r="M50" s="101"/>
      <c r="N50" s="102"/>
      <c r="O50" s="102"/>
      <c r="P50" s="100"/>
      <c r="Q50" s="101"/>
      <c r="R50" s="102"/>
      <c r="S50" s="102"/>
      <c r="T50" s="102"/>
      <c r="U50" s="103"/>
    </row>
    <row r="486" spans="6:6" x14ac:dyDescent="0.2">
      <c r="F486" s="11">
        <v>11.5</v>
      </c>
    </row>
    <row r="487" spans="6:6" x14ac:dyDescent="0.2">
      <c r="F487" s="11">
        <v>11.5</v>
      </c>
    </row>
  </sheetData>
  <phoneticPr fontId="1" type="noConversion"/>
  <printOptions horizontalCentered="1" verticalCentered="1"/>
  <pageMargins left="0.78740157480314965" right="0.78740157480314965" top="0.78740157480314965" bottom="0.78740157480314965" header="0" footer="0"/>
  <pageSetup paperSize="9" scale="65" orientation="landscape" r:id="rId1"/>
  <headerFooter alignWithMargins="0"/>
  <rowBreaks count="1" manualBreakCount="1">
    <brk id="16" max="65535" man="1"/>
  </rowBreaks>
  <ignoredErrors>
    <ignoredError sqref="V9:V10 V11:V13" unlockedFormula="1"/>
    <ignoredError sqref="V14:V15" formulaRange="1" unlockedFormula="1"/>
    <ignoredError sqref="T45 C22:C3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J53"/>
  <sheetViews>
    <sheetView showGridLines="0" tabSelected="1" zoomScaleNormal="100" zoomScaleSheetLayoutView="90" workbookViewId="0">
      <selection activeCell="X1" sqref="S1:X1048576"/>
    </sheetView>
  </sheetViews>
  <sheetFormatPr defaultColWidth="5.6640625" defaultRowHeight="12.75" x14ac:dyDescent="0.2"/>
  <cols>
    <col min="1" max="1" width="5.6640625" style="140"/>
    <col min="2" max="3" width="17.1640625" style="108" customWidth="1"/>
    <col min="4" max="4" width="57.1640625" style="108" customWidth="1"/>
    <col min="5" max="5" width="7.6640625" style="108" customWidth="1"/>
    <col min="6" max="7" width="12.83203125" style="108" customWidth="1"/>
    <col min="8" max="8" width="22.83203125" style="108" customWidth="1"/>
    <col min="9" max="9" width="19" style="108" customWidth="1"/>
    <col min="10" max="10" width="2.83203125" style="108" customWidth="1"/>
    <col min="11" max="11" width="17.1640625" style="108" bestFit="1" customWidth="1"/>
    <col min="12" max="12" width="16.6640625" style="108" bestFit="1" customWidth="1"/>
    <col min="13" max="13" width="16.1640625" style="113" bestFit="1" customWidth="1"/>
    <col min="14" max="14" width="14.1640625" style="113" bestFit="1" customWidth="1"/>
    <col min="15" max="15" width="16.1640625" style="113" customWidth="1"/>
    <col min="16" max="16" width="13.33203125" style="113" customWidth="1"/>
    <col min="17" max="17" width="16.1640625" style="113" customWidth="1"/>
    <col min="18" max="18" width="13.33203125" style="113" customWidth="1"/>
    <col min="19" max="19" width="16.1640625" style="113" hidden="1" customWidth="1"/>
    <col min="20" max="20" width="13.33203125" style="113" hidden="1" customWidth="1"/>
    <col min="21" max="21" width="16.1640625" style="113" hidden="1" customWidth="1"/>
    <col min="22" max="22" width="13.33203125" style="113" hidden="1" customWidth="1"/>
    <col min="23" max="23" width="16.1640625" style="113" hidden="1" customWidth="1"/>
    <col min="24" max="24" width="13.33203125" style="113" hidden="1" customWidth="1"/>
    <col min="25" max="25" width="16.1640625" style="113" customWidth="1"/>
    <col min="26" max="26" width="14.5" style="108" bestFit="1" customWidth="1"/>
    <col min="27" max="27" width="10" style="108" hidden="1" customWidth="1"/>
    <col min="28" max="28" width="23.5" style="108" customWidth="1"/>
    <col min="29" max="33" width="5.6640625" style="108"/>
    <col min="34" max="34" width="26.33203125" style="108" customWidth="1"/>
    <col min="35" max="35" width="19.6640625" style="108" customWidth="1"/>
    <col min="36" max="36" width="16.83203125" style="108" customWidth="1"/>
    <col min="37" max="37" width="5.6640625" style="108"/>
    <col min="38" max="38" width="19" style="108" customWidth="1"/>
    <col min="39" max="16384" width="5.6640625" style="108"/>
  </cols>
  <sheetData>
    <row r="2" spans="1:26" ht="18" customHeight="1" thickBot="1" x14ac:dyDescent="0.25">
      <c r="B2" s="109"/>
      <c r="C2" s="109"/>
      <c r="D2" s="189" t="s">
        <v>55</v>
      </c>
      <c r="E2" s="110"/>
      <c r="F2" s="111"/>
      <c r="G2" s="111"/>
      <c r="H2" s="112"/>
      <c r="I2" s="112"/>
      <c r="J2" s="112"/>
      <c r="L2" s="112"/>
    </row>
    <row r="3" spans="1:26" s="114" customFormat="1" ht="19.5" customHeight="1" thickBot="1" x14ac:dyDescent="0.25">
      <c r="A3" s="141"/>
      <c r="B3" s="115" t="s">
        <v>21</v>
      </c>
      <c r="C3" s="179"/>
      <c r="D3" s="185" t="s">
        <v>47</v>
      </c>
      <c r="E3" s="116"/>
      <c r="F3" s="116"/>
      <c r="G3" s="116"/>
      <c r="H3" s="205"/>
      <c r="I3" s="206"/>
      <c r="J3" s="112"/>
      <c r="K3" s="108"/>
      <c r="L3" s="112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6" s="114" customFormat="1" ht="35.25" customHeight="1" thickBot="1" x14ac:dyDescent="0.25">
      <c r="A4" s="141"/>
      <c r="B4" s="117" t="s">
        <v>1</v>
      </c>
      <c r="C4" s="180"/>
      <c r="D4" s="217" t="s">
        <v>54</v>
      </c>
      <c r="E4" s="218"/>
      <c r="F4" s="218"/>
      <c r="G4" s="218"/>
      <c r="H4" s="244" t="s">
        <v>80</v>
      </c>
      <c r="I4" s="245" t="s">
        <v>81</v>
      </c>
      <c r="J4" s="112"/>
      <c r="K4" s="257" t="s">
        <v>34</v>
      </c>
      <c r="L4" s="258"/>
      <c r="M4" s="259" t="s">
        <v>45</v>
      </c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1"/>
    </row>
    <row r="5" spans="1:26" s="114" customFormat="1" ht="20.100000000000001" customHeight="1" thickBot="1" x14ac:dyDescent="0.25">
      <c r="A5" s="141"/>
      <c r="B5" s="118" t="s">
        <v>0</v>
      </c>
      <c r="C5" s="181"/>
      <c r="D5" s="188" t="s">
        <v>67</v>
      </c>
      <c r="E5" s="143"/>
      <c r="F5" s="143"/>
      <c r="G5" s="143"/>
      <c r="H5" s="242" t="s">
        <v>29</v>
      </c>
      <c r="I5" s="243">
        <v>0.2</v>
      </c>
      <c r="J5" s="112"/>
      <c r="K5" s="262">
        <f>1-(L33/I34)</f>
        <v>2.748081444655881E-3</v>
      </c>
      <c r="L5" s="263"/>
      <c r="M5" s="162" t="s">
        <v>42</v>
      </c>
      <c r="N5" s="163" t="s">
        <v>43</v>
      </c>
      <c r="O5" s="162" t="s">
        <v>42</v>
      </c>
      <c r="P5" s="163" t="s">
        <v>43</v>
      </c>
      <c r="Q5" s="162" t="s">
        <v>42</v>
      </c>
      <c r="R5" s="163" t="s">
        <v>43</v>
      </c>
      <c r="S5" s="162" t="s">
        <v>42</v>
      </c>
      <c r="T5" s="163" t="s">
        <v>43</v>
      </c>
      <c r="U5" s="162" t="s">
        <v>42</v>
      </c>
      <c r="V5" s="163" t="s">
        <v>43</v>
      </c>
      <c r="W5" s="162" t="s">
        <v>42</v>
      </c>
      <c r="X5" s="163" t="s">
        <v>43</v>
      </c>
      <c r="Y5" s="264" t="s">
        <v>20</v>
      </c>
      <c r="Z5" s="265"/>
    </row>
    <row r="6" spans="1:26" s="114" customFormat="1" ht="13.5" thickBot="1" x14ac:dyDescent="0.25">
      <c r="A6" s="141"/>
      <c r="B6" s="270" t="s">
        <v>68</v>
      </c>
      <c r="C6" s="271"/>
      <c r="D6" s="271"/>
      <c r="E6" s="271"/>
      <c r="F6" s="271"/>
      <c r="G6" s="271"/>
      <c r="H6" s="271"/>
      <c r="I6" s="272"/>
      <c r="J6" s="112"/>
      <c r="K6" s="229"/>
      <c r="L6" s="230"/>
      <c r="M6" s="225"/>
      <c r="N6" s="226"/>
      <c r="O6" s="225"/>
      <c r="P6" s="226"/>
      <c r="Q6" s="225"/>
      <c r="R6" s="226"/>
      <c r="S6" s="225"/>
      <c r="T6" s="226"/>
      <c r="U6" s="225"/>
      <c r="V6" s="226"/>
      <c r="W6" s="225"/>
      <c r="X6" s="226"/>
      <c r="Y6" s="231"/>
      <c r="Z6" s="232"/>
    </row>
    <row r="7" spans="1:26" ht="19.5" customHeight="1" x14ac:dyDescent="0.2">
      <c r="B7" s="251" t="s">
        <v>46</v>
      </c>
      <c r="C7" s="266" t="s">
        <v>50</v>
      </c>
      <c r="D7" s="266" t="s">
        <v>23</v>
      </c>
      <c r="E7" s="268" t="s">
        <v>17</v>
      </c>
      <c r="F7" s="119" t="s">
        <v>18</v>
      </c>
      <c r="G7" s="120"/>
      <c r="H7" s="151" t="s">
        <v>24</v>
      </c>
      <c r="I7" s="121"/>
      <c r="J7" s="112"/>
      <c r="K7" s="253" t="s">
        <v>38</v>
      </c>
      <c r="L7" s="254"/>
      <c r="M7" s="164">
        <v>1</v>
      </c>
      <c r="N7" s="273">
        <v>45922</v>
      </c>
      <c r="O7" s="164">
        <v>2</v>
      </c>
      <c r="P7" s="175"/>
      <c r="Q7" s="164">
        <v>3</v>
      </c>
      <c r="R7" s="175"/>
      <c r="S7" s="164">
        <v>4</v>
      </c>
      <c r="T7" s="175"/>
      <c r="U7" s="164">
        <v>5</v>
      </c>
      <c r="V7" s="175"/>
      <c r="W7" s="164">
        <v>6</v>
      </c>
      <c r="X7" s="175"/>
      <c r="Y7" s="255" t="s">
        <v>44</v>
      </c>
      <c r="Z7" s="256"/>
    </row>
    <row r="8" spans="1:26" ht="29.25" customHeight="1" thickBot="1" x14ac:dyDescent="0.25">
      <c r="B8" s="252"/>
      <c r="C8" s="267"/>
      <c r="D8" s="267"/>
      <c r="E8" s="269"/>
      <c r="F8" s="122" t="s">
        <v>25</v>
      </c>
      <c r="G8" s="148" t="s">
        <v>36</v>
      </c>
      <c r="H8" s="149" t="s">
        <v>37</v>
      </c>
      <c r="I8" s="147" t="s">
        <v>39</v>
      </c>
      <c r="J8" s="112"/>
      <c r="K8" s="153" t="s">
        <v>36</v>
      </c>
      <c r="L8" s="154" t="s">
        <v>39</v>
      </c>
      <c r="M8" s="165" t="s">
        <v>31</v>
      </c>
      <c r="N8" s="166" t="s">
        <v>32</v>
      </c>
      <c r="O8" s="165" t="s">
        <v>31</v>
      </c>
      <c r="P8" s="166" t="s">
        <v>32</v>
      </c>
      <c r="Q8" s="165" t="s">
        <v>31</v>
      </c>
      <c r="R8" s="166" t="s">
        <v>32</v>
      </c>
      <c r="S8" s="165" t="s">
        <v>31</v>
      </c>
      <c r="T8" s="166" t="s">
        <v>32</v>
      </c>
      <c r="U8" s="165" t="s">
        <v>31</v>
      </c>
      <c r="V8" s="166" t="s">
        <v>32</v>
      </c>
      <c r="W8" s="165" t="s">
        <v>31</v>
      </c>
      <c r="X8" s="166" t="s">
        <v>32</v>
      </c>
      <c r="Y8" s="165" t="s">
        <v>31</v>
      </c>
      <c r="Z8" s="168" t="s">
        <v>19</v>
      </c>
    </row>
    <row r="9" spans="1:26" s="113" customFormat="1" ht="12.75" customHeight="1" thickBot="1" x14ac:dyDescent="0.25">
      <c r="A9" s="142"/>
      <c r="B9" s="125">
        <v>1</v>
      </c>
      <c r="C9" s="182"/>
      <c r="D9" s="167" t="s">
        <v>87</v>
      </c>
      <c r="E9" s="152"/>
      <c r="F9" s="127"/>
      <c r="G9" s="127"/>
      <c r="H9" s="128"/>
      <c r="I9" s="132"/>
      <c r="J9" s="112"/>
      <c r="K9" s="155"/>
      <c r="L9" s="132"/>
      <c r="M9" s="158"/>
      <c r="N9" s="159"/>
      <c r="O9" s="158"/>
      <c r="P9" s="159"/>
      <c r="Q9" s="158"/>
      <c r="R9" s="159"/>
      <c r="S9" s="158"/>
      <c r="T9" s="159"/>
      <c r="U9" s="158"/>
      <c r="V9" s="159"/>
      <c r="W9" s="158"/>
      <c r="X9" s="132"/>
      <c r="Y9" s="160"/>
      <c r="Z9" s="161"/>
    </row>
    <row r="10" spans="1:26" s="113" customFormat="1" ht="39" thickBot="1" x14ac:dyDescent="0.25">
      <c r="A10" s="142" t="s">
        <v>40</v>
      </c>
      <c r="B10" s="233" t="s">
        <v>26</v>
      </c>
      <c r="C10" s="234" t="s">
        <v>85</v>
      </c>
      <c r="D10" s="235" t="s">
        <v>86</v>
      </c>
      <c r="E10" s="236" t="s">
        <v>48</v>
      </c>
      <c r="F10" s="237">
        <f>3*2.4</f>
        <v>7.1999999999999993</v>
      </c>
      <c r="G10" s="247">
        <v>317.24</v>
      </c>
      <c r="H10" s="238">
        <f>IF($F10=0,0,ROUND($F10*$G10,2))</f>
        <v>2284.13</v>
      </c>
      <c r="I10" s="239">
        <f>ROUND(H10*(1+$I$5),2)</f>
        <v>2740.96</v>
      </c>
      <c r="J10" s="112"/>
      <c r="K10" s="210">
        <v>300</v>
      </c>
      <c r="L10" s="209">
        <f>F10*K10*(1+$I$5)</f>
        <v>2592</v>
      </c>
      <c r="M10" s="173"/>
      <c r="N10" s="174" t="str">
        <f>IF(M10="","",L10*M10)</f>
        <v/>
      </c>
      <c r="O10" s="173"/>
      <c r="P10" s="174" t="str">
        <f>IF(O10="","",L10*O10)</f>
        <v/>
      </c>
      <c r="Q10" s="173"/>
      <c r="R10" s="174" t="str">
        <f>IF(Q10="","",L10*Q10)</f>
        <v/>
      </c>
      <c r="S10" s="173"/>
      <c r="T10" s="174" t="str">
        <f>IF(S10="","",L10*S10)</f>
        <v/>
      </c>
      <c r="U10" s="173"/>
      <c r="V10" s="174" t="str">
        <f>IF(U10="","",L10*U10)</f>
        <v/>
      </c>
      <c r="W10" s="173"/>
      <c r="X10" s="174" t="str">
        <f>IF(W10="","",L10*W10)</f>
        <v/>
      </c>
      <c r="Y10" s="210" t="str">
        <f>IF(AND(M10="",O10="",Q10="",S10="",U10="",W10=""),"",IF(M10+O10+Q10+S10+U10+W10&gt;1,"ERRO",M10+O10+Q10+S10+U10+W10))</f>
        <v/>
      </c>
      <c r="Z10" s="209" t="str">
        <f>IF(Y10="","",IF(Y10="ERRO","ERRO",Y10*L10))</f>
        <v/>
      </c>
    </row>
    <row r="11" spans="1:26" s="113" customFormat="1" ht="13.5" thickBot="1" x14ac:dyDescent="0.25">
      <c r="A11" s="142"/>
      <c r="B11" s="199"/>
      <c r="C11" s="200"/>
      <c r="D11" s="201"/>
      <c r="E11" s="202"/>
      <c r="F11" s="203"/>
      <c r="G11" s="144" t="s">
        <v>35</v>
      </c>
      <c r="H11" s="144">
        <f>SUM(H10:H10)</f>
        <v>2284.13</v>
      </c>
      <c r="I11" s="145">
        <f>SUM(I10:I10)</f>
        <v>2740.96</v>
      </c>
      <c r="J11" s="112"/>
      <c r="K11" s="157" t="s">
        <v>35</v>
      </c>
      <c r="L11" s="156">
        <f>SUM(L10)</f>
        <v>2592</v>
      </c>
      <c r="M11" s="157" t="s">
        <v>35</v>
      </c>
      <c r="N11" s="156">
        <f>SUM(N10)</f>
        <v>0</v>
      </c>
      <c r="O11" s="157" t="s">
        <v>35</v>
      </c>
      <c r="P11" s="156">
        <f>SUM(P10)</f>
        <v>0</v>
      </c>
      <c r="Q11" s="157" t="s">
        <v>35</v>
      </c>
      <c r="R11" s="156">
        <f>SUM(R10)</f>
        <v>0</v>
      </c>
      <c r="S11" s="157" t="s">
        <v>35</v>
      </c>
      <c r="T11" s="156">
        <f>SUM(T10)</f>
        <v>0</v>
      </c>
      <c r="U11" s="157" t="s">
        <v>35</v>
      </c>
      <c r="V11" s="156">
        <f>SUM(V10)</f>
        <v>0</v>
      </c>
      <c r="W11" s="157" t="s">
        <v>35</v>
      </c>
      <c r="X11" s="156">
        <f>SUM(X10)</f>
        <v>0</v>
      </c>
      <c r="Y11" s="157" t="s">
        <v>35</v>
      </c>
      <c r="Z11" s="156">
        <f>SUM(Z10)</f>
        <v>0</v>
      </c>
    </row>
    <row r="12" spans="1:26" s="113" customFormat="1" ht="12.75" customHeight="1" thickBot="1" x14ac:dyDescent="0.25">
      <c r="A12" s="142"/>
      <c r="B12" s="125">
        <v>2</v>
      </c>
      <c r="C12" s="182"/>
      <c r="D12" s="167" t="s">
        <v>59</v>
      </c>
      <c r="E12" s="152"/>
      <c r="F12" s="127"/>
      <c r="G12" s="127"/>
      <c r="H12" s="128"/>
      <c r="I12" s="132"/>
      <c r="J12" s="112"/>
      <c r="K12" s="155"/>
      <c r="L12" s="132"/>
      <c r="M12" s="158"/>
      <c r="N12" s="159"/>
      <c r="O12" s="158"/>
      <c r="P12" s="159"/>
      <c r="Q12" s="158"/>
      <c r="R12" s="159"/>
      <c r="S12" s="158"/>
      <c r="T12" s="159"/>
      <c r="U12" s="158"/>
      <c r="V12" s="159"/>
      <c r="W12" s="158"/>
      <c r="X12" s="132"/>
      <c r="Y12" s="160"/>
      <c r="Z12" s="161"/>
    </row>
    <row r="13" spans="1:26" s="113" customFormat="1" ht="90" thickBot="1" x14ac:dyDescent="0.25">
      <c r="A13" s="142" t="s">
        <v>41</v>
      </c>
      <c r="B13" s="233" t="s">
        <v>27</v>
      </c>
      <c r="C13" s="234" t="s">
        <v>71</v>
      </c>
      <c r="D13" s="235" t="s">
        <v>72</v>
      </c>
      <c r="E13" s="236" t="s">
        <v>58</v>
      </c>
      <c r="F13" s="237">
        <f>0.7*8*2800</f>
        <v>15679.999999999998</v>
      </c>
      <c r="G13" s="237">
        <v>8.64</v>
      </c>
      <c r="H13" s="238">
        <f>IF($F13=0,0,ROUND($F13*$G13,2))</f>
        <v>135475.20000000001</v>
      </c>
      <c r="I13" s="239">
        <f>ROUND(H13*(1+$I$5),2)</f>
        <v>162570.23999999999</v>
      </c>
      <c r="J13" s="112"/>
      <c r="K13" s="210">
        <v>8.64</v>
      </c>
      <c r="L13" s="209">
        <f>F13*K13*(1+$I$5)</f>
        <v>162570.23999999996</v>
      </c>
      <c r="M13" s="173"/>
      <c r="N13" s="174" t="str">
        <f>IF(M13="","",L13*M13)</f>
        <v/>
      </c>
      <c r="O13" s="173"/>
      <c r="P13" s="174" t="str">
        <f>IF(O13="","",L13*O13)</f>
        <v/>
      </c>
      <c r="Q13" s="173"/>
      <c r="R13" s="174" t="str">
        <f>IF(Q13="","",L13*Q13)</f>
        <v/>
      </c>
      <c r="S13" s="173"/>
      <c r="T13" s="174" t="str">
        <f>IF(S13="","",L13*S13)</f>
        <v/>
      </c>
      <c r="U13" s="173"/>
      <c r="V13" s="174" t="str">
        <f>IF(U13="","",L13*U13)</f>
        <v/>
      </c>
      <c r="W13" s="173"/>
      <c r="X13" s="174" t="str">
        <f>IF(W13="","",L13*W13)</f>
        <v/>
      </c>
      <c r="Y13" s="210" t="str">
        <f>IF(AND(M13="",O13="",Q13="",S13="",U13="",W13=""),"",IF(M13+O13+Q13+S13+U13+W13&gt;1,"ERRO",M13+O13+Q13+S13+U13+W13))</f>
        <v/>
      </c>
      <c r="Z13" s="209" t="str">
        <f>IF(Y13="","",IF(Y13="ERRO","ERRO",Y13*L13))</f>
        <v/>
      </c>
    </row>
    <row r="14" spans="1:26" s="113" customFormat="1" ht="13.5" thickBot="1" x14ac:dyDescent="0.25">
      <c r="A14" s="142"/>
      <c r="B14" s="199"/>
      <c r="C14" s="200"/>
      <c r="D14" s="201"/>
      <c r="E14" s="202"/>
      <c r="F14" s="203"/>
      <c r="G14" s="144" t="s">
        <v>35</v>
      </c>
      <c r="H14" s="144">
        <f>SUM(H13:H13)</f>
        <v>135475.20000000001</v>
      </c>
      <c r="I14" s="145">
        <f>SUM(I13:I13)</f>
        <v>162570.23999999999</v>
      </c>
      <c r="J14" s="112"/>
      <c r="K14" s="157" t="s">
        <v>35</v>
      </c>
      <c r="L14" s="156">
        <f>SUM(L13)</f>
        <v>162570.23999999996</v>
      </c>
      <c r="M14" s="157" t="s">
        <v>35</v>
      </c>
      <c r="N14" s="156">
        <f>SUM(N13)</f>
        <v>0</v>
      </c>
      <c r="O14" s="157" t="s">
        <v>35</v>
      </c>
      <c r="P14" s="156">
        <f>SUM(P13)</f>
        <v>0</v>
      </c>
      <c r="Q14" s="157" t="s">
        <v>35</v>
      </c>
      <c r="R14" s="156">
        <f>SUM(R13)</f>
        <v>0</v>
      </c>
      <c r="S14" s="157" t="s">
        <v>35</v>
      </c>
      <c r="T14" s="156">
        <f>SUM(T13)</f>
        <v>0</v>
      </c>
      <c r="U14" s="157" t="s">
        <v>35</v>
      </c>
      <c r="V14" s="156">
        <f>SUM(V13)</f>
        <v>0</v>
      </c>
      <c r="W14" s="157" t="s">
        <v>35</v>
      </c>
      <c r="X14" s="156">
        <f>SUM(X13)</f>
        <v>0</v>
      </c>
      <c r="Y14" s="157" t="s">
        <v>35</v>
      </c>
      <c r="Z14" s="156">
        <f>SUM(Z13)</f>
        <v>0</v>
      </c>
    </row>
    <row r="15" spans="1:26" s="113" customFormat="1" ht="12.75" customHeight="1" thickBot="1" x14ac:dyDescent="0.25">
      <c r="A15" s="142"/>
      <c r="B15" s="125">
        <v>3</v>
      </c>
      <c r="C15" s="182"/>
      <c r="D15" s="167" t="s">
        <v>79</v>
      </c>
      <c r="E15" s="152"/>
      <c r="F15" s="127"/>
      <c r="G15" s="127"/>
      <c r="H15" s="128"/>
      <c r="I15" s="132"/>
      <c r="J15" s="112"/>
      <c r="K15" s="155"/>
      <c r="L15" s="132"/>
      <c r="M15" s="158"/>
      <c r="N15" s="159"/>
      <c r="O15" s="158"/>
      <c r="P15" s="159"/>
      <c r="Q15" s="158"/>
      <c r="R15" s="159"/>
      <c r="S15" s="158"/>
      <c r="T15" s="159"/>
      <c r="U15" s="158"/>
      <c r="V15" s="159"/>
      <c r="W15" s="158"/>
      <c r="X15" s="132"/>
      <c r="Y15" s="160"/>
      <c r="Z15" s="161"/>
    </row>
    <row r="16" spans="1:26" s="113" customFormat="1" ht="39" thickBot="1" x14ac:dyDescent="0.25">
      <c r="A16" s="142" t="s">
        <v>73</v>
      </c>
      <c r="B16" s="187" t="s">
        <v>63</v>
      </c>
      <c r="C16" s="215" t="s">
        <v>56</v>
      </c>
      <c r="D16" s="214" t="s">
        <v>57</v>
      </c>
      <c r="E16" s="213" t="s">
        <v>48</v>
      </c>
      <c r="F16" s="176">
        <f>8*2800</f>
        <v>22400</v>
      </c>
      <c r="G16" s="176">
        <v>2.82</v>
      </c>
      <c r="H16" s="177">
        <f>IF($F16=0,0,ROUND($F16*$G16,2))</f>
        <v>63168</v>
      </c>
      <c r="I16" s="178">
        <f>ROUND(H16*(1+$I$5),2)</f>
        <v>75801.600000000006</v>
      </c>
      <c r="J16" s="112"/>
      <c r="K16" s="210">
        <v>2.8</v>
      </c>
      <c r="L16" s="209">
        <f>ROUND(F16*K16*(1+$I$5),2)</f>
        <v>75264</v>
      </c>
      <c r="M16" s="207"/>
      <c r="N16" s="208" t="str">
        <f>IF(M16="","",L16*M16)</f>
        <v/>
      </c>
      <c r="O16" s="207"/>
      <c r="P16" s="208" t="str">
        <f>IF(O16="","",L16*O16)</f>
        <v/>
      </c>
      <c r="Q16" s="207"/>
      <c r="R16" s="208" t="str">
        <f>IF(Q16="","",L16*Q16)</f>
        <v/>
      </c>
      <c r="S16" s="207"/>
      <c r="T16" s="208" t="str">
        <f>IF(S16="","",L16*S16)</f>
        <v/>
      </c>
      <c r="U16" s="207"/>
      <c r="V16" s="208" t="str">
        <f>IF(U16="","",L16*U16)</f>
        <v/>
      </c>
      <c r="W16" s="207"/>
      <c r="X16" s="208" t="str">
        <f>IF(W16="","",L16*W16)</f>
        <v/>
      </c>
      <c r="Y16" s="210" t="str">
        <f>IF(AND(M16="",O16="",Q16="",S16="",U16="",W16=""),"",IF(M16+O16+Q16+S16+U16+W16&gt;1,"ERRO",M16+O16+Q16+S16+U16+W16))</f>
        <v/>
      </c>
      <c r="Z16" s="209" t="str">
        <f>IF(Y16="","",IF(Y16="ERRO","ERRO",Y16*L16))</f>
        <v/>
      </c>
    </row>
    <row r="17" spans="1:26" s="113" customFormat="1" ht="13.5" thickBot="1" x14ac:dyDescent="0.25">
      <c r="A17" s="142"/>
      <c r="B17" s="199"/>
      <c r="C17" s="200"/>
      <c r="D17" s="224"/>
      <c r="E17" s="202"/>
      <c r="F17" s="203"/>
      <c r="G17" s="240" t="s">
        <v>35</v>
      </c>
      <c r="H17" s="240">
        <f>SUM(H16:H16)</f>
        <v>63168</v>
      </c>
      <c r="I17" s="228">
        <f>SUM(I16:I16)</f>
        <v>75801.600000000006</v>
      </c>
      <c r="J17" s="112"/>
      <c r="K17" s="157" t="s">
        <v>35</v>
      </c>
      <c r="L17" s="156">
        <f>SUM(L16)</f>
        <v>75264</v>
      </c>
      <c r="M17" s="157" t="s">
        <v>35</v>
      </c>
      <c r="N17" s="156">
        <f>SUM(N16)</f>
        <v>0</v>
      </c>
      <c r="O17" s="157" t="s">
        <v>35</v>
      </c>
      <c r="P17" s="156">
        <f>SUM(P16)</f>
        <v>0</v>
      </c>
      <c r="Q17" s="157" t="s">
        <v>35</v>
      </c>
      <c r="R17" s="156">
        <f>SUM(R16)</f>
        <v>0</v>
      </c>
      <c r="S17" s="157" t="s">
        <v>35</v>
      </c>
      <c r="T17" s="156">
        <f>SUM(T16)</f>
        <v>0</v>
      </c>
      <c r="U17" s="157" t="s">
        <v>35</v>
      </c>
      <c r="V17" s="156">
        <f>SUM(V16)</f>
        <v>0</v>
      </c>
      <c r="W17" s="157" t="s">
        <v>35</v>
      </c>
      <c r="X17" s="156">
        <f>SUM(X16)</f>
        <v>0</v>
      </c>
      <c r="Y17" s="157" t="s">
        <v>35</v>
      </c>
      <c r="Z17" s="156">
        <f>SUM(Z16)</f>
        <v>0</v>
      </c>
    </row>
    <row r="18" spans="1:26" s="113" customFormat="1" ht="13.5" thickBot="1" x14ac:dyDescent="0.25">
      <c r="A18" s="142"/>
      <c r="B18" s="248" t="s">
        <v>69</v>
      </c>
      <c r="C18" s="249"/>
      <c r="D18" s="249"/>
      <c r="E18" s="249"/>
      <c r="F18" s="249"/>
      <c r="G18" s="249"/>
      <c r="H18" s="249"/>
      <c r="I18" s="250"/>
      <c r="J18" s="112"/>
      <c r="K18" s="227"/>
      <c r="L18" s="228"/>
      <c r="M18" s="157"/>
      <c r="N18" s="228"/>
      <c r="O18" s="157"/>
      <c r="P18" s="228"/>
      <c r="Q18" s="157"/>
      <c r="R18" s="228"/>
      <c r="S18" s="157"/>
      <c r="T18" s="228"/>
      <c r="U18" s="157"/>
      <c r="V18" s="228"/>
      <c r="W18" s="157"/>
      <c r="X18" s="228"/>
      <c r="Y18" s="157"/>
      <c r="Z18" s="228"/>
    </row>
    <row r="19" spans="1:26" s="113" customFormat="1" ht="12.75" customHeight="1" thickBot="1" x14ac:dyDescent="0.25">
      <c r="A19" s="142"/>
      <c r="B19" s="125">
        <v>4</v>
      </c>
      <c r="C19" s="182"/>
      <c r="D19" s="167" t="s">
        <v>59</v>
      </c>
      <c r="E19" s="152"/>
      <c r="F19" s="127"/>
      <c r="G19" s="127"/>
      <c r="H19" s="128"/>
      <c r="I19" s="132"/>
      <c r="J19" s="112"/>
      <c r="K19" s="155"/>
      <c r="L19" s="132"/>
      <c r="M19" s="158"/>
      <c r="N19" s="159"/>
      <c r="O19" s="158"/>
      <c r="P19" s="159"/>
      <c r="Q19" s="158"/>
      <c r="R19" s="159"/>
      <c r="S19" s="158"/>
      <c r="T19" s="159"/>
      <c r="U19" s="158"/>
      <c r="V19" s="159"/>
      <c r="W19" s="158"/>
      <c r="X19" s="132"/>
      <c r="Y19" s="160"/>
      <c r="Z19" s="161"/>
    </row>
    <row r="20" spans="1:26" s="113" customFormat="1" ht="90" thickBot="1" x14ac:dyDescent="0.25">
      <c r="A20" s="142" t="s">
        <v>74</v>
      </c>
      <c r="B20" s="186" t="s">
        <v>64</v>
      </c>
      <c r="C20" s="234" t="s">
        <v>71</v>
      </c>
      <c r="D20" s="235" t="s">
        <v>72</v>
      </c>
      <c r="E20" s="219" t="s">
        <v>58</v>
      </c>
      <c r="F20" s="176">
        <f>0.7*8*3500</f>
        <v>19600</v>
      </c>
      <c r="G20" s="237">
        <v>8.64</v>
      </c>
      <c r="H20" s="177">
        <f>IF($F20=0,0,ROUND($F20*$G20,2))</f>
        <v>169344</v>
      </c>
      <c r="I20" s="178">
        <f>ROUND(H20*(1+$I$5),2)</f>
        <v>203212.79999999999</v>
      </c>
      <c r="J20" s="112"/>
      <c r="K20" s="210">
        <v>8.64</v>
      </c>
      <c r="L20" s="209">
        <f>F20*K20*(1+$I$5)</f>
        <v>203212.79999999999</v>
      </c>
      <c r="M20" s="274">
        <v>0.25</v>
      </c>
      <c r="N20" s="174">
        <f>IF(M20="","",L20*M20)</f>
        <v>50803.199999999997</v>
      </c>
      <c r="O20" s="173"/>
      <c r="P20" s="174" t="str">
        <f>IF(O20="","",L20*O20)</f>
        <v/>
      </c>
      <c r="Q20" s="173"/>
      <c r="R20" s="174" t="str">
        <f>IF(Q20="","",L20*Q20)</f>
        <v/>
      </c>
      <c r="S20" s="173"/>
      <c r="T20" s="174" t="str">
        <f>IF(S20="","",L20*S20)</f>
        <v/>
      </c>
      <c r="U20" s="173"/>
      <c r="V20" s="174" t="str">
        <f>IF(U20="","",L20*U20)</f>
        <v/>
      </c>
      <c r="W20" s="173"/>
      <c r="X20" s="174" t="str">
        <f>IF(W20="","",L20*W20)</f>
        <v/>
      </c>
      <c r="Y20" s="210">
        <f>IF(AND(M20="",O20="",Q20="",S20="",U20="",W20=""),"",IF(M20+O20+Q20+S20+U20+W20&gt;1,"ERRO",M20+O20+Q20+S20+U20+W20))</f>
        <v>0.25</v>
      </c>
      <c r="Z20" s="209">
        <f>IF(Y20="","",IF(Y20="ERRO","ERRO",Y20*L20))</f>
        <v>50803.199999999997</v>
      </c>
    </row>
    <row r="21" spans="1:26" s="113" customFormat="1" ht="13.5" thickBot="1" x14ac:dyDescent="0.25">
      <c r="A21" s="142"/>
      <c r="B21" s="199"/>
      <c r="C21" s="200"/>
      <c r="D21" s="201"/>
      <c r="E21" s="202"/>
      <c r="F21" s="203"/>
      <c r="G21" s="144" t="s">
        <v>35</v>
      </c>
      <c r="H21" s="144">
        <f>SUM(H20:H20)</f>
        <v>169344</v>
      </c>
      <c r="I21" s="145">
        <f>SUM(I20:I20)</f>
        <v>203212.79999999999</v>
      </c>
      <c r="J21" s="112"/>
      <c r="K21" s="157" t="s">
        <v>35</v>
      </c>
      <c r="L21" s="156">
        <f>SUM(L20)</f>
        <v>203212.79999999999</v>
      </c>
      <c r="M21" s="157" t="s">
        <v>35</v>
      </c>
      <c r="N21" s="156">
        <f>SUM(N20)</f>
        <v>50803.199999999997</v>
      </c>
      <c r="O21" s="157" t="s">
        <v>35</v>
      </c>
      <c r="P21" s="156">
        <f>SUM(P20)</f>
        <v>0</v>
      </c>
      <c r="Q21" s="157" t="s">
        <v>35</v>
      </c>
      <c r="R21" s="156">
        <f>SUM(R20)</f>
        <v>0</v>
      </c>
      <c r="S21" s="157" t="s">
        <v>35</v>
      </c>
      <c r="T21" s="156">
        <f>SUM(T20)</f>
        <v>0</v>
      </c>
      <c r="U21" s="157" t="s">
        <v>35</v>
      </c>
      <c r="V21" s="156">
        <f>SUM(V20)</f>
        <v>0</v>
      </c>
      <c r="W21" s="157" t="s">
        <v>35</v>
      </c>
      <c r="X21" s="156">
        <f>SUM(X20)</f>
        <v>0</v>
      </c>
      <c r="Y21" s="157" t="s">
        <v>35</v>
      </c>
      <c r="Z21" s="156">
        <f>SUM(Z20)</f>
        <v>50803.199999999997</v>
      </c>
    </row>
    <row r="22" spans="1:26" s="113" customFormat="1" ht="12.75" customHeight="1" thickBot="1" x14ac:dyDescent="0.25">
      <c r="A22" s="142"/>
      <c r="B22" s="125">
        <v>5</v>
      </c>
      <c r="C22" s="182"/>
      <c r="D22" s="167" t="s">
        <v>79</v>
      </c>
      <c r="E22" s="152"/>
      <c r="F22" s="127"/>
      <c r="G22" s="127"/>
      <c r="H22" s="128"/>
      <c r="I22" s="132"/>
      <c r="J22" s="112"/>
      <c r="K22" s="155"/>
      <c r="L22" s="132"/>
      <c r="M22" s="158"/>
      <c r="N22" s="159"/>
      <c r="O22" s="158"/>
      <c r="P22" s="159"/>
      <c r="Q22" s="158"/>
      <c r="R22" s="159"/>
      <c r="S22" s="158"/>
      <c r="T22" s="159"/>
      <c r="U22" s="158"/>
      <c r="V22" s="159"/>
      <c r="W22" s="158"/>
      <c r="X22" s="132"/>
      <c r="Y22" s="160"/>
      <c r="Z22" s="161"/>
    </row>
    <row r="23" spans="1:26" s="113" customFormat="1" ht="39" thickBot="1" x14ac:dyDescent="0.25">
      <c r="A23" s="142" t="s">
        <v>40</v>
      </c>
      <c r="B23" s="187" t="s">
        <v>65</v>
      </c>
      <c r="C23" s="215" t="s">
        <v>56</v>
      </c>
      <c r="D23" s="214" t="s">
        <v>57</v>
      </c>
      <c r="E23" s="213" t="s">
        <v>48</v>
      </c>
      <c r="F23" s="176">
        <f>8*3500</f>
        <v>28000</v>
      </c>
      <c r="G23" s="176">
        <v>2.82</v>
      </c>
      <c r="H23" s="177">
        <f>IF($F23=0,0,ROUND($F23*$G23,2))</f>
        <v>78960</v>
      </c>
      <c r="I23" s="178">
        <f>ROUND(H23*(1+$I$5),2)</f>
        <v>94752</v>
      </c>
      <c r="J23" s="112"/>
      <c r="K23" s="210">
        <v>2.82</v>
      </c>
      <c r="L23" s="209">
        <f>ROUND(F23*K23*(1+$I$5),2)</f>
        <v>94752</v>
      </c>
      <c r="M23" s="274">
        <v>0.25</v>
      </c>
      <c r="N23" s="208">
        <f>IF(M23="","",L23*M23)</f>
        <v>23688</v>
      </c>
      <c r="O23" s="207"/>
      <c r="P23" s="208" t="str">
        <f>IF(O23="","",L23*O23)</f>
        <v/>
      </c>
      <c r="Q23" s="207"/>
      <c r="R23" s="208" t="str">
        <f>IF(Q23="","",L23*Q23)</f>
        <v/>
      </c>
      <c r="S23" s="207"/>
      <c r="T23" s="208" t="str">
        <f>IF(S23="","",L23*S23)</f>
        <v/>
      </c>
      <c r="U23" s="207"/>
      <c r="V23" s="208" t="str">
        <f>IF(U23="","",L23*U23)</f>
        <v/>
      </c>
      <c r="W23" s="207"/>
      <c r="X23" s="208" t="str">
        <f>IF(W23="","",L23*W23)</f>
        <v/>
      </c>
      <c r="Y23" s="210">
        <f>IF(AND(M23="",O23="",Q23="",S23="",U23="",W23=""),"",IF(M23+O23+Q23+S23+U23+W23&gt;1,"ERRO",M23+O23+Q23+S23+U23+W23))</f>
        <v>0.25</v>
      </c>
      <c r="Z23" s="209">
        <f>IF(Y23="","",IF(Y23="ERRO","ERRO",Y23*L23))</f>
        <v>23688</v>
      </c>
    </row>
    <row r="24" spans="1:26" s="113" customFormat="1" ht="17.25" customHeight="1" thickBot="1" x14ac:dyDescent="0.25">
      <c r="A24" s="142"/>
      <c r="B24" s="199"/>
      <c r="C24" s="200"/>
      <c r="D24" s="224"/>
      <c r="E24" s="202"/>
      <c r="F24" s="203"/>
      <c r="G24" s="240" t="s">
        <v>35</v>
      </c>
      <c r="H24" s="240">
        <f>SUM(H23:H23)</f>
        <v>78960</v>
      </c>
      <c r="I24" s="228">
        <f>SUM(I23:I23)</f>
        <v>94752</v>
      </c>
      <c r="J24" s="112"/>
      <c r="K24" s="157" t="s">
        <v>35</v>
      </c>
      <c r="L24" s="156">
        <f>SUM(L23)</f>
        <v>94752</v>
      </c>
      <c r="M24" s="157" t="s">
        <v>35</v>
      </c>
      <c r="N24" s="156">
        <f>SUM(N23)</f>
        <v>23688</v>
      </c>
      <c r="O24" s="157" t="s">
        <v>35</v>
      </c>
      <c r="P24" s="156">
        <f>SUM(P23)</f>
        <v>0</v>
      </c>
      <c r="Q24" s="157" t="s">
        <v>35</v>
      </c>
      <c r="R24" s="156">
        <f>SUM(R23)</f>
        <v>0</v>
      </c>
      <c r="S24" s="157" t="s">
        <v>35</v>
      </c>
      <c r="T24" s="156">
        <f>SUM(T23)</f>
        <v>0</v>
      </c>
      <c r="U24" s="157" t="s">
        <v>35</v>
      </c>
      <c r="V24" s="156">
        <f>SUM(V23)</f>
        <v>0</v>
      </c>
      <c r="W24" s="157" t="s">
        <v>35</v>
      </c>
      <c r="X24" s="156">
        <f>SUM(X23)</f>
        <v>0</v>
      </c>
      <c r="Y24" s="157" t="s">
        <v>35</v>
      </c>
      <c r="Z24" s="156">
        <f>SUM(Z23)</f>
        <v>23688</v>
      </c>
    </row>
    <row r="25" spans="1:26" s="113" customFormat="1" ht="13.5" thickBot="1" x14ac:dyDescent="0.25">
      <c r="A25" s="142"/>
      <c r="B25" s="248" t="s">
        <v>70</v>
      </c>
      <c r="C25" s="249"/>
      <c r="D25" s="249"/>
      <c r="E25" s="249"/>
      <c r="F25" s="249"/>
      <c r="G25" s="249"/>
      <c r="H25" s="249"/>
      <c r="I25" s="250"/>
      <c r="J25" s="112"/>
      <c r="K25" s="227"/>
      <c r="L25" s="228"/>
      <c r="M25" s="157"/>
      <c r="N25" s="228"/>
      <c r="O25" s="157"/>
      <c r="P25" s="228"/>
      <c r="Q25" s="157"/>
      <c r="R25" s="228"/>
      <c r="S25" s="157"/>
      <c r="T25" s="228"/>
      <c r="U25" s="157"/>
      <c r="V25" s="228"/>
      <c r="W25" s="157"/>
      <c r="X25" s="228"/>
      <c r="Y25" s="157"/>
      <c r="Z25" s="228"/>
    </row>
    <row r="26" spans="1:26" s="113" customFormat="1" ht="12.75" customHeight="1" thickBot="1" x14ac:dyDescent="0.25">
      <c r="A26" s="142"/>
      <c r="B26" s="125">
        <v>6</v>
      </c>
      <c r="C26" s="182"/>
      <c r="D26" s="167" t="s">
        <v>59</v>
      </c>
      <c r="E26" s="152"/>
      <c r="F26" s="127"/>
      <c r="G26" s="127"/>
      <c r="H26" s="128"/>
      <c r="I26" s="132"/>
      <c r="J26" s="112"/>
      <c r="K26" s="155"/>
      <c r="L26" s="132"/>
      <c r="M26" s="158"/>
      <c r="N26" s="159"/>
      <c r="O26" s="158"/>
      <c r="P26" s="159"/>
      <c r="Q26" s="158"/>
      <c r="R26" s="159"/>
      <c r="S26" s="158"/>
      <c r="T26" s="159"/>
      <c r="U26" s="158"/>
      <c r="V26" s="159"/>
      <c r="W26" s="158"/>
      <c r="X26" s="132"/>
      <c r="Y26" s="160"/>
      <c r="Z26" s="161"/>
    </row>
    <row r="27" spans="1:26" s="113" customFormat="1" ht="89.25" x14ac:dyDescent="0.2">
      <c r="A27" s="142" t="s">
        <v>75</v>
      </c>
      <c r="B27" s="186" t="s">
        <v>66</v>
      </c>
      <c r="C27" s="234" t="s">
        <v>71</v>
      </c>
      <c r="D27" s="235" t="s">
        <v>72</v>
      </c>
      <c r="E27" s="219" t="s">
        <v>58</v>
      </c>
      <c r="F27" s="176">
        <f>0.7*8*2170</f>
        <v>12152</v>
      </c>
      <c r="G27" s="237">
        <v>8.64</v>
      </c>
      <c r="H27" s="177">
        <f>IF($F27=0,0,ROUND($F27*$G27,2))</f>
        <v>104993.28</v>
      </c>
      <c r="I27" s="178">
        <f>ROUND(H27*(1+$I$5),2)</f>
        <v>125991.94</v>
      </c>
      <c r="J27" s="112"/>
      <c r="K27" s="210">
        <v>8.6</v>
      </c>
      <c r="L27" s="209">
        <f>F27*K27*(1+$I$5)</f>
        <v>125408.63999999998</v>
      </c>
      <c r="M27" s="210"/>
      <c r="N27" s="209" t="str">
        <f>IF(M27="","",L27*M27)</f>
        <v/>
      </c>
      <c r="O27" s="210"/>
      <c r="P27" s="209" t="str">
        <f>IF(O27="","",L27*O27)</f>
        <v/>
      </c>
      <c r="Q27" s="210"/>
      <c r="R27" s="209" t="str">
        <f>IF(Q27="","",L27*Q27)</f>
        <v/>
      </c>
      <c r="S27" s="210"/>
      <c r="T27" s="209" t="str">
        <f>IF(S27="","",L27*S27)</f>
        <v/>
      </c>
      <c r="U27" s="210"/>
      <c r="V27" s="209" t="str">
        <f>IF(U27="","",L27*U27)</f>
        <v/>
      </c>
      <c r="W27" s="210"/>
      <c r="X27" s="209" t="str">
        <f>IF(W27="","",L27*W27)</f>
        <v/>
      </c>
      <c r="Y27" s="210" t="str">
        <f>IF(AND(M27="",O27="",Q27="",S27="",U27="",W27=""),"",IF(M27+O27+Q27+S27+U27+W27&gt;1,"ERRO",M27+O27+Q27+S27+U27+W27))</f>
        <v/>
      </c>
      <c r="Z27" s="209" t="str">
        <f>IF(Y27="","",IF(Y27="ERRO","ERRO",Y27*L27))</f>
        <v/>
      </c>
    </row>
    <row r="28" spans="1:26" s="113" customFormat="1" ht="51.75" thickBot="1" x14ac:dyDescent="0.25">
      <c r="A28" s="142" t="s">
        <v>75</v>
      </c>
      <c r="B28" s="186" t="s">
        <v>82</v>
      </c>
      <c r="C28" s="184" t="s">
        <v>77</v>
      </c>
      <c r="D28" s="241" t="s">
        <v>76</v>
      </c>
      <c r="E28" s="219" t="s">
        <v>48</v>
      </c>
      <c r="F28" s="176">
        <f>2170*2</f>
        <v>4340</v>
      </c>
      <c r="G28" s="176">
        <v>0.69</v>
      </c>
      <c r="H28" s="177">
        <f>IF($F28=0,0,ROUND($F28*$G28,2))</f>
        <v>2994.6</v>
      </c>
      <c r="I28" s="178">
        <f>ROUND(H28*(1+$I$5),2)</f>
        <v>3593.52</v>
      </c>
      <c r="J28" s="112"/>
      <c r="K28" s="210">
        <v>0.55000000000000004</v>
      </c>
      <c r="L28" s="209">
        <f>F28*K28*(1+$I$5)</f>
        <v>2864.4</v>
      </c>
      <c r="M28" s="210"/>
      <c r="N28" s="209" t="str">
        <f>IF(M28="","",L28*M28)</f>
        <v/>
      </c>
      <c r="O28" s="210"/>
      <c r="P28" s="209" t="str">
        <f>IF(O28="","",L28*O28)</f>
        <v/>
      </c>
      <c r="Q28" s="210"/>
      <c r="R28" s="209" t="str">
        <f>IF(Q28="","",L28*Q28)</f>
        <v/>
      </c>
      <c r="S28" s="210"/>
      <c r="T28" s="209" t="str">
        <f>IF(S28="","",L28*S28)</f>
        <v/>
      </c>
      <c r="U28" s="210"/>
      <c r="V28" s="209" t="str">
        <f>IF(U28="","",L28*U28)</f>
        <v/>
      </c>
      <c r="W28" s="210"/>
      <c r="X28" s="209" t="str">
        <f>IF(W28="","",L28*W28)</f>
        <v/>
      </c>
      <c r="Y28" s="210" t="str">
        <f>IF(AND(M28="",O28="",Q28="",S28="",U28="",W28=""),"",IF(M28+O28+Q28+S28+U28+W28&gt;1,"ERRO",M28+O28+Q28+S28+U28+W28))</f>
        <v/>
      </c>
      <c r="Z28" s="209" t="str">
        <f>IF(Y28="","",IF(Y28="ERRO","ERRO",Y28*L28))</f>
        <v/>
      </c>
    </row>
    <row r="29" spans="1:26" s="113" customFormat="1" ht="13.5" thickBot="1" x14ac:dyDescent="0.25">
      <c r="A29" s="142"/>
      <c r="B29" s="199"/>
      <c r="C29" s="200"/>
      <c r="D29" s="201"/>
      <c r="E29" s="202"/>
      <c r="F29" s="203"/>
      <c r="G29" s="144" t="s">
        <v>35</v>
      </c>
      <c r="H29" s="144">
        <f>SUM(H27:H28)</f>
        <v>107987.88</v>
      </c>
      <c r="I29" s="145">
        <f>SUM(I27:I28)</f>
        <v>129585.46</v>
      </c>
      <c r="J29" s="112"/>
      <c r="K29" s="157" t="s">
        <v>35</v>
      </c>
      <c r="L29" s="156">
        <f>SUM(L27:L28)</f>
        <v>128273.03999999998</v>
      </c>
      <c r="M29" s="157" t="s">
        <v>35</v>
      </c>
      <c r="N29" s="156">
        <f>SUM(N27:N28)</f>
        <v>0</v>
      </c>
      <c r="O29" s="157" t="s">
        <v>35</v>
      </c>
      <c r="P29" s="156">
        <f>SUM(P27:P28)</f>
        <v>0</v>
      </c>
      <c r="Q29" s="157" t="s">
        <v>35</v>
      </c>
      <c r="R29" s="156">
        <f>SUM(R27:R28)</f>
        <v>0</v>
      </c>
      <c r="S29" s="157" t="s">
        <v>35</v>
      </c>
      <c r="T29" s="156">
        <f>SUM(T27:T28)</f>
        <v>0</v>
      </c>
      <c r="U29" s="157" t="s">
        <v>35</v>
      </c>
      <c r="V29" s="156">
        <f>SUM(V27:V28)</f>
        <v>0</v>
      </c>
      <c r="W29" s="157" t="s">
        <v>35</v>
      </c>
      <c r="X29" s="156">
        <f>SUM(X27:X28)</f>
        <v>0</v>
      </c>
      <c r="Y29" s="157" t="s">
        <v>35</v>
      </c>
      <c r="Z29" s="156">
        <f>SUM(Z27:Z28)</f>
        <v>0</v>
      </c>
    </row>
    <row r="30" spans="1:26" s="113" customFormat="1" ht="12.75" customHeight="1" thickBot="1" x14ac:dyDescent="0.25">
      <c r="A30" s="142"/>
      <c r="B30" s="125">
        <v>7</v>
      </c>
      <c r="C30" s="182"/>
      <c r="D30" s="167" t="s">
        <v>79</v>
      </c>
      <c r="E30" s="152"/>
      <c r="F30" s="127"/>
      <c r="G30" s="127"/>
      <c r="H30" s="128"/>
      <c r="I30" s="132"/>
      <c r="J30" s="112"/>
      <c r="K30" s="155"/>
      <c r="L30" s="132"/>
      <c r="M30" s="158"/>
      <c r="N30" s="159"/>
      <c r="O30" s="158"/>
      <c r="P30" s="159"/>
      <c r="Q30" s="158"/>
      <c r="R30" s="159"/>
      <c r="S30" s="158"/>
      <c r="T30" s="159"/>
      <c r="U30" s="158"/>
      <c r="V30" s="159"/>
      <c r="W30" s="158"/>
      <c r="X30" s="132"/>
      <c r="Y30" s="160"/>
      <c r="Z30" s="161"/>
    </row>
    <row r="31" spans="1:26" s="113" customFormat="1" ht="39" thickBot="1" x14ac:dyDescent="0.25">
      <c r="A31" s="142" t="s">
        <v>83</v>
      </c>
      <c r="B31" s="187" t="s">
        <v>84</v>
      </c>
      <c r="C31" s="215" t="s">
        <v>56</v>
      </c>
      <c r="D31" s="214" t="s">
        <v>57</v>
      </c>
      <c r="E31" s="213" t="s">
        <v>48</v>
      </c>
      <c r="F31" s="176">
        <f>8*2170</f>
        <v>17360</v>
      </c>
      <c r="G31" s="176">
        <v>2.82</v>
      </c>
      <c r="H31" s="177">
        <f>IF($F31=0,0,ROUND($F31*$G31,2))</f>
        <v>48955.199999999997</v>
      </c>
      <c r="I31" s="178">
        <f>ROUND(H31*(1+$I$5),2)</f>
        <v>58746.239999999998</v>
      </c>
      <c r="J31" s="112"/>
      <c r="K31" s="210">
        <v>2.82</v>
      </c>
      <c r="L31" s="209">
        <f>ROUND(F31*K31*(1+$I$5),2)</f>
        <v>58746.239999999998</v>
      </c>
      <c r="M31" s="207"/>
      <c r="N31" s="208" t="str">
        <f>IF(M31="","",L31*M31)</f>
        <v/>
      </c>
      <c r="O31" s="207"/>
      <c r="P31" s="208" t="str">
        <f>IF(O31="","",L31*O31)</f>
        <v/>
      </c>
      <c r="Q31" s="207"/>
      <c r="R31" s="208" t="str">
        <f>IF(Q31="","",L31*Q31)</f>
        <v/>
      </c>
      <c r="S31" s="207"/>
      <c r="T31" s="208" t="str">
        <f>IF(S31="","",L31*S31)</f>
        <v/>
      </c>
      <c r="U31" s="207"/>
      <c r="V31" s="208" t="str">
        <f>IF(U31="","",L31*U31)</f>
        <v/>
      </c>
      <c r="W31" s="207"/>
      <c r="X31" s="208" t="str">
        <f>IF(W31="","",L31*W31)</f>
        <v/>
      </c>
      <c r="Y31" s="210" t="str">
        <f>IF(AND(M31="",O31="",Q31="",S31="",U31="",W31=""),"",IF(M31+O31+Q31+S31+U31+W31&gt;1,"ERRO",M31+O31+Q31+S31+U31+W31))</f>
        <v/>
      </c>
      <c r="Z31" s="209" t="str">
        <f>IF(Y31="","",IF(Y31="ERRO","ERRO",Y31*L31))</f>
        <v/>
      </c>
    </row>
    <row r="32" spans="1:26" s="113" customFormat="1" ht="13.5" thickBot="1" x14ac:dyDescent="0.25">
      <c r="A32" s="142"/>
      <c r="B32" s="199"/>
      <c r="C32" s="200"/>
      <c r="D32" s="224"/>
      <c r="E32" s="202"/>
      <c r="F32" s="203"/>
      <c r="G32" s="144" t="s">
        <v>35</v>
      </c>
      <c r="H32" s="144">
        <f>SUM(H31:H31)</f>
        <v>48955.199999999997</v>
      </c>
      <c r="I32" s="145">
        <f>SUM(I31:I31)</f>
        <v>58746.239999999998</v>
      </c>
      <c r="J32" s="112"/>
      <c r="K32" s="157" t="s">
        <v>35</v>
      </c>
      <c r="L32" s="156">
        <f>SUM(L31)</f>
        <v>58746.239999999998</v>
      </c>
      <c r="M32" s="157" t="s">
        <v>35</v>
      </c>
      <c r="N32" s="156">
        <f>SUM(N31)</f>
        <v>0</v>
      </c>
      <c r="O32" s="157" t="s">
        <v>35</v>
      </c>
      <c r="P32" s="156">
        <f>SUM(P31)</f>
        <v>0</v>
      </c>
      <c r="Q32" s="157" t="s">
        <v>35</v>
      </c>
      <c r="R32" s="156">
        <f>SUM(R31)</f>
        <v>0</v>
      </c>
      <c r="S32" s="157" t="s">
        <v>35</v>
      </c>
      <c r="T32" s="156">
        <f>SUM(T31)</f>
        <v>0</v>
      </c>
      <c r="U32" s="157" t="s">
        <v>35</v>
      </c>
      <c r="V32" s="156">
        <f>SUM(V31)</f>
        <v>0</v>
      </c>
      <c r="W32" s="157" t="s">
        <v>35</v>
      </c>
      <c r="X32" s="156">
        <f>SUM(X31)</f>
        <v>0</v>
      </c>
      <c r="Y32" s="157" t="s">
        <v>35</v>
      </c>
      <c r="Z32" s="156">
        <f>SUM(Z31)</f>
        <v>0</v>
      </c>
    </row>
    <row r="33" spans="1:36" ht="16.5" customHeight="1" thickBot="1" x14ac:dyDescent="0.25">
      <c r="B33" s="129"/>
      <c r="C33" s="183"/>
      <c r="D33" s="130"/>
      <c r="E33" s="126"/>
      <c r="F33" s="127"/>
      <c r="G33" s="131"/>
      <c r="H33" s="131" t="s">
        <v>28</v>
      </c>
      <c r="I33" s="146">
        <f>SUMIF(G10:G32,"SUBTOTAL",H10:H32)</f>
        <v>606174.40999999992</v>
      </c>
      <c r="J33" s="112"/>
      <c r="K33" s="157" t="s">
        <v>19</v>
      </c>
      <c r="L33" s="146">
        <f>SUMIF(K10:K32,"SUBTOTAL",L10:L32)</f>
        <v>725410.31999999983</v>
      </c>
      <c r="M33" s="157" t="s">
        <v>19</v>
      </c>
      <c r="N33" s="146">
        <f>SUMIF(M10:M32,"SUBTOTAL",N10:N32)</f>
        <v>74491.199999999997</v>
      </c>
      <c r="O33" s="157" t="s">
        <v>19</v>
      </c>
      <c r="P33" s="146">
        <f>SUMIF(O10:O32,"SUBTOTAL",P10:P32)</f>
        <v>0</v>
      </c>
      <c r="Q33" s="157" t="s">
        <v>19</v>
      </c>
      <c r="R33" s="146">
        <f>SUMIF(Q10:Q32,"SUBTOTAL",R10:R32)</f>
        <v>0</v>
      </c>
      <c r="S33" s="157" t="s">
        <v>19</v>
      </c>
      <c r="T33" s="146">
        <f>SUMIF(S10:S32,"SUBTOTAL",T10:T32)</f>
        <v>0</v>
      </c>
      <c r="U33" s="157" t="s">
        <v>19</v>
      </c>
      <c r="V33" s="146">
        <f>SUMIF(U10:U32,"SUBTOTAL",V10:V32)</f>
        <v>0</v>
      </c>
      <c r="W33" s="157" t="s">
        <v>19</v>
      </c>
      <c r="X33" s="146">
        <f>SUMIF(W10:W32,"SUBTOTAL",X10:X32)</f>
        <v>0</v>
      </c>
      <c r="Y33" s="157" t="s">
        <v>19</v>
      </c>
      <c r="Z33" s="146">
        <f>SUMIF(Y10:Y32,"SUBTOTAL",Z10:Z32)</f>
        <v>74491.199999999997</v>
      </c>
      <c r="AA33" s="108">
        <f>SUBTOTAL(9,AA12:AA32)</f>
        <v>0</v>
      </c>
    </row>
    <row r="34" spans="1:36" ht="13.5" thickBot="1" x14ac:dyDescent="0.25">
      <c r="B34" s="129"/>
      <c r="C34" s="183"/>
      <c r="D34" s="130"/>
      <c r="E34" s="126"/>
      <c r="F34" s="127"/>
      <c r="G34" s="131"/>
      <c r="H34" s="131" t="s">
        <v>30</v>
      </c>
      <c r="I34" s="146">
        <f>SUMIF(G10:G32,"SUBTOTAL",I10:I32)</f>
        <v>727409.29999999993</v>
      </c>
      <c r="J34" s="112"/>
      <c r="L34" s="150"/>
      <c r="M34" s="124"/>
      <c r="O34" s="124"/>
      <c r="Q34" s="124"/>
      <c r="S34" s="124"/>
      <c r="U34" s="124"/>
      <c r="W34" s="124"/>
      <c r="Y34" s="124"/>
    </row>
    <row r="35" spans="1:36" x14ac:dyDescent="0.2">
      <c r="G35" s="123"/>
      <c r="H35" s="133"/>
      <c r="J35" s="112"/>
      <c r="K35" s="204"/>
    </row>
    <row r="36" spans="1:36" x14ac:dyDescent="0.2">
      <c r="I36" s="204"/>
      <c r="J36" s="112"/>
      <c r="K36" s="223"/>
      <c r="L36" s="223"/>
    </row>
    <row r="37" spans="1:36" ht="33.75" customHeight="1" x14ac:dyDescent="0.2">
      <c r="A37" s="108"/>
      <c r="C37" s="134"/>
      <c r="E37" s="112"/>
      <c r="F37" s="204"/>
      <c r="G37" s="222"/>
      <c r="I37" s="204"/>
    </row>
    <row r="38" spans="1:36" x14ac:dyDescent="0.2">
      <c r="H38" s="135"/>
      <c r="J38" s="112"/>
    </row>
    <row r="39" spans="1:36" x14ac:dyDescent="0.2">
      <c r="B39" s="108" t="s">
        <v>33</v>
      </c>
      <c r="H39" s="135"/>
      <c r="I39" s="216"/>
      <c r="J39" s="112"/>
    </row>
    <row r="40" spans="1:36" x14ac:dyDescent="0.2">
      <c r="B40" s="277" t="s">
        <v>88</v>
      </c>
      <c r="I40" s="216"/>
      <c r="J40" s="112"/>
    </row>
    <row r="41" spans="1:36" x14ac:dyDescent="0.2">
      <c r="B41" s="277" t="s">
        <v>89</v>
      </c>
      <c r="H41" s="136"/>
      <c r="J41" s="112"/>
      <c r="AJ41" s="108">
        <f>SUBTOTAL(9,AJ12:AJ40)</f>
        <v>0</v>
      </c>
    </row>
    <row r="42" spans="1:36" x14ac:dyDescent="0.2">
      <c r="B42" s="277" t="s">
        <v>52</v>
      </c>
      <c r="I42" s="137"/>
      <c r="J42" s="112"/>
      <c r="L42" s="137"/>
    </row>
    <row r="43" spans="1:36" x14ac:dyDescent="0.2">
      <c r="I43" s="204"/>
      <c r="J43" s="112"/>
      <c r="L43" s="134"/>
      <c r="M43" s="124"/>
      <c r="O43" s="124"/>
      <c r="Q43" s="124"/>
      <c r="S43" s="124"/>
      <c r="U43" s="124"/>
      <c r="W43" s="124"/>
    </row>
    <row r="44" spans="1:36" x14ac:dyDescent="0.2">
      <c r="I44" s="123"/>
      <c r="J44" s="112"/>
      <c r="L44" s="123"/>
    </row>
    <row r="45" spans="1:36" x14ac:dyDescent="0.2">
      <c r="J45" s="123"/>
      <c r="L45" s="123">
        <v>548856</v>
      </c>
      <c r="N45" s="124"/>
      <c r="P45" s="124"/>
      <c r="R45" s="124"/>
      <c r="T45" s="124"/>
      <c r="V45" s="124"/>
      <c r="X45" s="124"/>
    </row>
    <row r="46" spans="1:36" x14ac:dyDescent="0.2">
      <c r="I46" s="108">
        <v>609840</v>
      </c>
      <c r="L46" s="204">
        <f>L33-L45</f>
        <v>176554.31999999983</v>
      </c>
      <c r="N46" s="138"/>
      <c r="P46" s="138"/>
      <c r="R46" s="138"/>
      <c r="T46" s="138"/>
      <c r="V46" s="138"/>
      <c r="X46" s="138"/>
    </row>
    <row r="47" spans="1:36" x14ac:dyDescent="0.2">
      <c r="I47" s="204">
        <f>I34-I46</f>
        <v>117569.29999999993</v>
      </c>
      <c r="L47" s="275">
        <f>ROUND(L46/L45,4)</f>
        <v>0.32169999999999999</v>
      </c>
      <c r="M47" s="276">
        <f>ROUND(N33*L47,2)</f>
        <v>23963.82</v>
      </c>
      <c r="N47" s="124"/>
      <c r="P47" s="124"/>
      <c r="R47" s="124"/>
      <c r="T47" s="124"/>
      <c r="V47" s="124"/>
      <c r="X47" s="124"/>
    </row>
    <row r="48" spans="1:36" x14ac:dyDescent="0.2">
      <c r="I48" s="108">
        <v>60984</v>
      </c>
    </row>
    <row r="52" spans="1:36" s="113" customFormat="1" x14ac:dyDescent="0.2">
      <c r="A52" s="140"/>
      <c r="B52" s="108"/>
      <c r="C52" s="108"/>
      <c r="D52" s="108"/>
      <c r="E52" s="108"/>
      <c r="F52" s="108"/>
      <c r="G52" s="108"/>
      <c r="H52" s="108"/>
      <c r="I52" s="139"/>
      <c r="J52" s="139"/>
      <c r="K52" s="108"/>
      <c r="L52" s="139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</row>
    <row r="53" spans="1:36" s="113" customFormat="1" x14ac:dyDescent="0.2">
      <c r="A53" s="140"/>
      <c r="B53" s="108"/>
      <c r="C53" s="108"/>
      <c r="D53" s="108"/>
      <c r="E53" s="108"/>
      <c r="F53" s="108"/>
      <c r="G53" s="108"/>
      <c r="H53" s="108"/>
      <c r="I53" s="139"/>
      <c r="J53" s="139"/>
      <c r="K53" s="108"/>
      <c r="L53" s="139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</row>
  </sheetData>
  <mergeCells count="13">
    <mergeCell ref="K4:L4"/>
    <mergeCell ref="M4:Z4"/>
    <mergeCell ref="K5:L5"/>
    <mergeCell ref="Y5:Z5"/>
    <mergeCell ref="C7:C8"/>
    <mergeCell ref="D7:D8"/>
    <mergeCell ref="E7:E8"/>
    <mergeCell ref="B6:I6"/>
    <mergeCell ref="B25:I25"/>
    <mergeCell ref="B18:I18"/>
    <mergeCell ref="B7:B8"/>
    <mergeCell ref="K7:L7"/>
    <mergeCell ref="Y7:Z7"/>
  </mergeCells>
  <printOptions horizontalCentered="1"/>
  <pageMargins left="0.78740157480314965" right="0.78740157480314965" top="0.78740157480314965" bottom="0.78740157480314965" header="0" footer="0"/>
  <pageSetup paperSize="9" scale="50" fitToHeight="0" orientation="landscape" r:id="rId1"/>
  <headerFooter alignWithMargins="0"/>
  <colBreaks count="1" manualBreakCount="1">
    <brk id="10" min="1" max="7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E0704-0886-4162-BAB7-763EE2C8EE2B}">
  <dimension ref="A1"/>
  <sheetViews>
    <sheetView workbookViewId="0">
      <selection activeCell="C49" sqref="C49"/>
    </sheetView>
  </sheetViews>
  <sheetFormatPr defaultRowHeight="11.25" x14ac:dyDescent="0.2"/>
  <sheetData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ECC7F-C7D3-43B8-93CE-44DA7956D79B}">
  <sheetPr>
    <pageSetUpPr fitToPage="1"/>
  </sheetPr>
  <dimension ref="B1:W487"/>
  <sheetViews>
    <sheetView showGridLines="0" view="pageBreakPreview" topLeftCell="A22" zoomScale="115" zoomScaleNormal="90" zoomScaleSheetLayoutView="115" workbookViewId="0">
      <selection activeCell="C10" sqref="C10"/>
    </sheetView>
  </sheetViews>
  <sheetFormatPr defaultColWidth="10.6640625" defaultRowHeight="12.75" x14ac:dyDescent="0.2"/>
  <cols>
    <col min="1" max="1" width="2.1640625" style="11" customWidth="1"/>
    <col min="2" max="2" width="13.1640625" style="11" customWidth="1"/>
    <col min="3" max="3" width="76" style="11" bestFit="1" customWidth="1"/>
    <col min="4" max="4" width="3.83203125" style="11" bestFit="1" customWidth="1"/>
    <col min="5" max="14" width="12.5" style="11" customWidth="1"/>
    <col min="15" max="19" width="12.5" style="11" hidden="1" customWidth="1"/>
    <col min="20" max="20" width="18.33203125" style="11" customWidth="1"/>
    <col min="21" max="21" width="14.33203125" style="11" customWidth="1"/>
    <col min="22" max="22" width="10.6640625" style="11" customWidth="1"/>
    <col min="23" max="23" width="18.1640625" style="11" customWidth="1"/>
    <col min="24" max="16384" width="10.6640625" style="11"/>
  </cols>
  <sheetData>
    <row r="1" spans="2:23" ht="13.5" thickBot="1" x14ac:dyDescent="0.25"/>
    <row r="2" spans="2:23" ht="28.5" customHeight="1" x14ac:dyDescent="0.3">
      <c r="B2" s="104" t="s">
        <v>52</v>
      </c>
      <c r="C2" s="190" t="s">
        <v>53</v>
      </c>
      <c r="D2" s="8"/>
      <c r="E2" s="9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 t="s">
        <v>80</v>
      </c>
      <c r="U2" s="246" t="s">
        <v>81</v>
      </c>
      <c r="W2" s="107"/>
    </row>
    <row r="3" spans="2:23" ht="15" customHeight="1" x14ac:dyDescent="0.2">
      <c r="B3" s="12" t="s">
        <v>21</v>
      </c>
      <c r="C3" s="13" t="str">
        <f>'TRECHO 01'!D3</f>
        <v>SANTA TEREZA DO OESTE / PR</v>
      </c>
      <c r="D3" s="13"/>
      <c r="E3" s="13"/>
      <c r="F3" s="106"/>
      <c r="G3" s="14"/>
      <c r="H3" s="14"/>
      <c r="I3" s="13"/>
      <c r="J3" s="106"/>
      <c r="K3" s="14"/>
      <c r="L3" s="14"/>
      <c r="M3" s="14"/>
      <c r="N3" s="14"/>
      <c r="O3" s="14"/>
      <c r="P3" s="14"/>
      <c r="Q3" s="14"/>
      <c r="R3" s="14"/>
      <c r="S3" s="14"/>
      <c r="T3" s="15" t="s">
        <v>78</v>
      </c>
      <c r="U3" s="169">
        <v>0.9</v>
      </c>
    </row>
    <row r="4" spans="2:23" ht="15" customHeight="1" x14ac:dyDescent="0.2">
      <c r="B4" s="12" t="s">
        <v>1</v>
      </c>
      <c r="C4" s="16" t="str">
        <f>'TRECHO 01'!D4</f>
        <v>ADEQUAÇÃO DE ESTRADA RURAL</v>
      </c>
      <c r="D4" s="13"/>
      <c r="E4" s="13"/>
      <c r="F4" s="106"/>
      <c r="G4" s="14"/>
      <c r="H4" s="14"/>
      <c r="I4" s="13"/>
      <c r="J4" s="106"/>
      <c r="K4" s="14"/>
      <c r="L4" s="14"/>
      <c r="M4" s="14"/>
      <c r="N4" s="14"/>
      <c r="O4" s="14"/>
      <c r="P4" s="14"/>
      <c r="Q4" s="14"/>
      <c r="R4" s="14"/>
      <c r="S4" s="14"/>
      <c r="T4" s="15" t="s">
        <v>2</v>
      </c>
      <c r="U4" s="170">
        <v>0.1</v>
      </c>
      <c r="W4" s="107"/>
    </row>
    <row r="5" spans="2:23" ht="15" customHeight="1" thickBot="1" x14ac:dyDescent="0.25">
      <c r="B5" s="17" t="s">
        <v>22</v>
      </c>
      <c r="C5" s="18" t="str">
        <f>'TRECHO 01'!D5</f>
        <v>ESTRADA RURAIS</v>
      </c>
      <c r="D5" s="19"/>
      <c r="E5" s="19"/>
      <c r="F5" s="20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"/>
    </row>
    <row r="6" spans="2:23" ht="18" x14ac:dyDescent="0.25">
      <c r="B6" s="22" t="s">
        <v>3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4"/>
    </row>
    <row r="7" spans="2:23" ht="12.75" customHeight="1" x14ac:dyDescent="0.2">
      <c r="B7" s="25" t="s">
        <v>4</v>
      </c>
      <c r="C7" s="26" t="s">
        <v>16</v>
      </c>
      <c r="D7" s="27"/>
      <c r="E7" s="28" t="s">
        <v>62</v>
      </c>
      <c r="F7" s="29"/>
      <c r="G7" s="29"/>
      <c r="H7" s="29"/>
      <c r="I7" s="29"/>
      <c r="J7" s="29"/>
      <c r="K7" s="29"/>
      <c r="L7" s="30"/>
      <c r="M7" s="30"/>
      <c r="N7" s="30"/>
      <c r="O7" s="30"/>
      <c r="P7" s="30"/>
      <c r="Q7" s="30"/>
      <c r="R7" s="30"/>
      <c r="S7" s="30"/>
      <c r="T7" s="31" t="s">
        <v>19</v>
      </c>
      <c r="U7" s="32" t="s">
        <v>5</v>
      </c>
    </row>
    <row r="8" spans="2:23" ht="13.5" thickBot="1" x14ac:dyDescent="0.25">
      <c r="B8" s="33" t="s">
        <v>7</v>
      </c>
      <c r="C8" s="34"/>
      <c r="D8" s="35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/>
      <c r="P8" s="36"/>
      <c r="Q8" s="36"/>
      <c r="R8" s="36"/>
      <c r="S8" s="36"/>
      <c r="T8" s="37" t="s">
        <v>8</v>
      </c>
      <c r="U8" s="38" t="s">
        <v>19</v>
      </c>
      <c r="V8" s="11" t="s">
        <v>6</v>
      </c>
    </row>
    <row r="9" spans="2:23" ht="13.5" thickTop="1" x14ac:dyDescent="0.2">
      <c r="B9" s="171">
        <v>1</v>
      </c>
      <c r="C9" s="195" t="str">
        <f>IF(B9="","",VLOOKUP(B9,'TRECHO 01'!$B$9:$I$34,3,FALSE))</f>
        <v>PLACA DE OBRA</v>
      </c>
      <c r="D9" s="191"/>
      <c r="E9" s="197">
        <v>100</v>
      </c>
      <c r="F9" s="197">
        <v>0</v>
      </c>
      <c r="G9" s="197">
        <v>0</v>
      </c>
      <c r="H9" s="197">
        <v>0</v>
      </c>
      <c r="I9" s="197">
        <v>0</v>
      </c>
      <c r="J9" s="197">
        <v>0</v>
      </c>
      <c r="K9" s="197">
        <v>0</v>
      </c>
      <c r="L9" s="197">
        <v>0</v>
      </c>
      <c r="M9" s="197">
        <v>0</v>
      </c>
      <c r="N9" s="197">
        <v>0</v>
      </c>
      <c r="O9" s="197"/>
      <c r="P9" s="197"/>
      <c r="Q9" s="197"/>
      <c r="R9" s="197"/>
      <c r="S9" s="197"/>
      <c r="T9" s="192">
        <f>'TRECHO 01'!I11</f>
        <v>2740.96</v>
      </c>
      <c r="U9" s="193">
        <f t="shared" ref="U9:U15" si="0">IF(B9="","",IF($T$17=0,0,(T9/$T$17)*100))</f>
        <v>0.37681123955935131</v>
      </c>
      <c r="V9" s="105">
        <f t="shared" ref="V9:V15" si="1">SUM(E9:S9)</f>
        <v>100</v>
      </c>
    </row>
    <row r="10" spans="2:23" ht="13.5" customHeight="1" x14ac:dyDescent="0.2">
      <c r="B10" s="171">
        <v>2</v>
      </c>
      <c r="C10" s="195" t="str">
        <f>IF(B10="","",VLOOKUP(B10,'TRECHO 01'!$B$12:$I$34,3,FALSE))</f>
        <v>ESCAVAÇÃO MECANIZADA</v>
      </c>
      <c r="D10" s="191"/>
      <c r="E10" s="197">
        <v>10</v>
      </c>
      <c r="F10" s="197">
        <v>10</v>
      </c>
      <c r="G10" s="197">
        <v>10</v>
      </c>
      <c r="H10" s="197">
        <v>10</v>
      </c>
      <c r="I10" s="197">
        <v>20</v>
      </c>
      <c r="J10" s="197">
        <v>15</v>
      </c>
      <c r="K10" s="197">
        <f t="shared" ref="F10:S15" si="2">100/10</f>
        <v>10</v>
      </c>
      <c r="L10" s="197">
        <v>10</v>
      </c>
      <c r="M10" s="197">
        <v>5</v>
      </c>
      <c r="N10" s="197">
        <v>0</v>
      </c>
      <c r="O10" s="197"/>
      <c r="P10" s="197"/>
      <c r="Q10" s="197"/>
      <c r="R10" s="197"/>
      <c r="S10" s="197"/>
      <c r="T10" s="192">
        <f>'TRECHO 01'!I14</f>
        <v>162570.23999999999</v>
      </c>
      <c r="U10" s="193">
        <f t="shared" si="0"/>
        <v>22.349211097521025</v>
      </c>
      <c r="V10" s="105">
        <f t="shared" si="1"/>
        <v>100</v>
      </c>
    </row>
    <row r="11" spans="2:23" x14ac:dyDescent="0.2">
      <c r="B11" s="171">
        <v>3</v>
      </c>
      <c r="C11" s="195" t="str">
        <f>IF(B11="","",VLOOKUP(B11,'TRECHO 01'!$B$12:$I$34,3,FALSE))</f>
        <v>REGULARIZAÇÃO E COMPACTAÇÃO DE SUBLEITO</v>
      </c>
      <c r="D11" s="191"/>
      <c r="E11" s="197">
        <f t="shared" ref="E11:E15" si="3">100/10</f>
        <v>10</v>
      </c>
      <c r="F11" s="197">
        <f t="shared" si="2"/>
        <v>10</v>
      </c>
      <c r="G11" s="197">
        <f t="shared" si="2"/>
        <v>10</v>
      </c>
      <c r="H11" s="197">
        <f t="shared" si="2"/>
        <v>10</v>
      </c>
      <c r="I11" s="197">
        <f t="shared" si="2"/>
        <v>10</v>
      </c>
      <c r="J11" s="197">
        <f t="shared" si="2"/>
        <v>10</v>
      </c>
      <c r="K11" s="197">
        <f t="shared" si="2"/>
        <v>10</v>
      </c>
      <c r="L11" s="197">
        <f t="shared" si="2"/>
        <v>10</v>
      </c>
      <c r="M11" s="197">
        <f t="shared" si="2"/>
        <v>10</v>
      </c>
      <c r="N11" s="197">
        <f t="shared" si="2"/>
        <v>10</v>
      </c>
      <c r="O11" s="197"/>
      <c r="P11" s="197"/>
      <c r="Q11" s="197"/>
      <c r="R11" s="197"/>
      <c r="S11" s="197"/>
      <c r="T11" s="192">
        <f>'TRECHO 01'!I17</f>
        <v>75801.600000000006</v>
      </c>
      <c r="U11" s="193">
        <f t="shared" si="0"/>
        <v>10.420763110947306</v>
      </c>
      <c r="V11" s="105">
        <f t="shared" si="1"/>
        <v>100</v>
      </c>
    </row>
    <row r="12" spans="2:23" x14ac:dyDescent="0.2">
      <c r="B12" s="171">
        <v>4</v>
      </c>
      <c r="C12" s="195" t="str">
        <f>IF(B12="","",VLOOKUP(B12,'TRECHO 01'!$B$12:$I$34,3,FALSE))</f>
        <v>ESCAVAÇÃO MECANIZADA</v>
      </c>
      <c r="D12" s="191"/>
      <c r="E12" s="197">
        <f t="shared" si="3"/>
        <v>10</v>
      </c>
      <c r="F12" s="197">
        <f t="shared" si="2"/>
        <v>10</v>
      </c>
      <c r="G12" s="197">
        <f t="shared" si="2"/>
        <v>10</v>
      </c>
      <c r="H12" s="197">
        <f t="shared" si="2"/>
        <v>10</v>
      </c>
      <c r="I12" s="197">
        <f t="shared" si="2"/>
        <v>10</v>
      </c>
      <c r="J12" s="197">
        <f t="shared" si="2"/>
        <v>10</v>
      </c>
      <c r="K12" s="197">
        <f t="shared" si="2"/>
        <v>10</v>
      </c>
      <c r="L12" s="197">
        <f t="shared" si="2"/>
        <v>10</v>
      </c>
      <c r="M12" s="197">
        <f t="shared" si="2"/>
        <v>10</v>
      </c>
      <c r="N12" s="197">
        <f t="shared" si="2"/>
        <v>10</v>
      </c>
      <c r="O12" s="197"/>
      <c r="P12" s="197"/>
      <c r="Q12" s="197"/>
      <c r="R12" s="197"/>
      <c r="S12" s="197"/>
      <c r="T12" s="192">
        <f>'TRECHO 01'!I21</f>
        <v>203212.79999999999</v>
      </c>
      <c r="U12" s="193">
        <f t="shared" si="0"/>
        <v>27.93651387190128</v>
      </c>
      <c r="V12" s="105">
        <f t="shared" si="1"/>
        <v>100</v>
      </c>
    </row>
    <row r="13" spans="2:23" x14ac:dyDescent="0.2">
      <c r="B13" s="171">
        <v>5</v>
      </c>
      <c r="C13" s="195" t="str">
        <f>IF(B13="","",VLOOKUP(B13,'TRECHO 01'!$B$12:$I$34,3,FALSE))</f>
        <v>REGULARIZAÇÃO E COMPACTAÇÃO DE SUBLEITO</v>
      </c>
      <c r="D13" s="191"/>
      <c r="E13" s="197">
        <f t="shared" si="3"/>
        <v>10</v>
      </c>
      <c r="F13" s="197">
        <f t="shared" si="2"/>
        <v>10</v>
      </c>
      <c r="G13" s="197">
        <f t="shared" si="2"/>
        <v>10</v>
      </c>
      <c r="H13" s="197">
        <f t="shared" si="2"/>
        <v>10</v>
      </c>
      <c r="I13" s="197">
        <f t="shared" si="2"/>
        <v>10</v>
      </c>
      <c r="J13" s="197">
        <f t="shared" si="2"/>
        <v>10</v>
      </c>
      <c r="K13" s="197">
        <f t="shared" si="2"/>
        <v>10</v>
      </c>
      <c r="L13" s="197">
        <f t="shared" si="2"/>
        <v>10</v>
      </c>
      <c r="M13" s="197">
        <f t="shared" si="2"/>
        <v>10</v>
      </c>
      <c r="N13" s="197">
        <f t="shared" si="2"/>
        <v>10</v>
      </c>
      <c r="O13" s="197"/>
      <c r="P13" s="197"/>
      <c r="Q13" s="197"/>
      <c r="R13" s="197"/>
      <c r="S13" s="197"/>
      <c r="T13" s="192">
        <f>'TRECHO 01'!I24</f>
        <v>94752</v>
      </c>
      <c r="U13" s="193">
        <f t="shared" si="0"/>
        <v>13.02595388868413</v>
      </c>
      <c r="V13" s="105">
        <f t="shared" si="1"/>
        <v>100</v>
      </c>
    </row>
    <row r="14" spans="2:23" x14ac:dyDescent="0.2">
      <c r="B14" s="171">
        <v>6</v>
      </c>
      <c r="C14" s="195" t="str">
        <f>IF(B14="","",VLOOKUP(B14,'TRECHO 01'!$B$12:$I$34,3,FALSE))</f>
        <v>ESCAVAÇÃO MECANIZADA</v>
      </c>
      <c r="D14" s="196">
        <v>6</v>
      </c>
      <c r="E14" s="197">
        <f t="shared" si="3"/>
        <v>10</v>
      </c>
      <c r="F14" s="197">
        <f t="shared" si="2"/>
        <v>10</v>
      </c>
      <c r="G14" s="197">
        <f t="shared" si="2"/>
        <v>10</v>
      </c>
      <c r="H14" s="197">
        <f t="shared" si="2"/>
        <v>10</v>
      </c>
      <c r="I14" s="197">
        <f t="shared" si="2"/>
        <v>10</v>
      </c>
      <c r="J14" s="197">
        <f t="shared" si="2"/>
        <v>10</v>
      </c>
      <c r="K14" s="197">
        <f t="shared" si="2"/>
        <v>10</v>
      </c>
      <c r="L14" s="197">
        <f t="shared" si="2"/>
        <v>10</v>
      </c>
      <c r="M14" s="197">
        <f t="shared" si="2"/>
        <v>10</v>
      </c>
      <c r="N14" s="197">
        <f t="shared" si="2"/>
        <v>10</v>
      </c>
      <c r="O14" s="194"/>
      <c r="P14" s="194"/>
      <c r="Q14" s="194"/>
      <c r="R14" s="194"/>
      <c r="S14" s="194"/>
      <c r="T14" s="192">
        <f>'TRECHO 01'!I29</f>
        <v>129585.46</v>
      </c>
      <c r="U14" s="193">
        <f t="shared" si="0"/>
        <v>17.814655380402755</v>
      </c>
      <c r="V14" s="105">
        <f t="shared" si="1"/>
        <v>100</v>
      </c>
    </row>
    <row r="15" spans="2:23" x14ac:dyDescent="0.2">
      <c r="B15" s="172">
        <v>7</v>
      </c>
      <c r="C15" s="195" t="str">
        <f>IF(B15="","",VLOOKUP(B15,'TRECHO 01'!$B$12:$I$34,3,FALSE))</f>
        <v>REGULARIZAÇÃO E COMPACTAÇÃO DE SUBLEITO</v>
      </c>
      <c r="D15" s="196">
        <v>6</v>
      </c>
      <c r="E15" s="197">
        <f t="shared" si="3"/>
        <v>10</v>
      </c>
      <c r="F15" s="197">
        <f t="shared" si="2"/>
        <v>10</v>
      </c>
      <c r="G15" s="197">
        <f t="shared" si="2"/>
        <v>10</v>
      </c>
      <c r="H15" s="197">
        <f t="shared" si="2"/>
        <v>10</v>
      </c>
      <c r="I15" s="197">
        <f t="shared" si="2"/>
        <v>10</v>
      </c>
      <c r="J15" s="197">
        <f t="shared" si="2"/>
        <v>10</v>
      </c>
      <c r="K15" s="197">
        <f t="shared" si="2"/>
        <v>10</v>
      </c>
      <c r="L15" s="197">
        <f t="shared" si="2"/>
        <v>10</v>
      </c>
      <c r="M15" s="197">
        <f t="shared" si="2"/>
        <v>10</v>
      </c>
      <c r="N15" s="197">
        <f t="shared" si="2"/>
        <v>10</v>
      </c>
      <c r="O15" s="194"/>
      <c r="P15" s="194"/>
      <c r="Q15" s="194"/>
      <c r="R15" s="194"/>
      <c r="S15" s="194"/>
      <c r="T15" s="192">
        <f>'TRECHO 01'!I32</f>
        <v>58746.239999999998</v>
      </c>
      <c r="U15" s="193">
        <f t="shared" si="0"/>
        <v>8.0760914109841604</v>
      </c>
      <c r="V15" s="105">
        <f t="shared" si="1"/>
        <v>100</v>
      </c>
    </row>
    <row r="16" spans="2:23" ht="13.5" thickBot="1" x14ac:dyDescent="0.25">
      <c r="B16" s="40"/>
      <c r="C16" s="41"/>
      <c r="D16" s="41"/>
      <c r="E16" s="42"/>
      <c r="F16" s="39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3"/>
      <c r="U16" s="44"/>
    </row>
    <row r="17" spans="2:22" ht="14.25" thickTop="1" thickBot="1" x14ac:dyDescent="0.25">
      <c r="B17" s="45"/>
      <c r="C17" s="46" t="s">
        <v>20</v>
      </c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9">
        <f>SUM(T9:T16)</f>
        <v>727409.29999999993</v>
      </c>
      <c r="U17" s="50">
        <f>SUM(U9:U15)</f>
        <v>100.00000000000001</v>
      </c>
    </row>
    <row r="18" spans="2:22" ht="18.75" thickTop="1" x14ac:dyDescent="0.25">
      <c r="B18" s="51" t="s">
        <v>9</v>
      </c>
      <c r="C18" s="52"/>
      <c r="D18" s="52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4"/>
    </row>
    <row r="19" spans="2:22" ht="13.5" thickBot="1" x14ac:dyDescent="0.25">
      <c r="B19" s="55" t="s">
        <v>7</v>
      </c>
      <c r="C19" s="56"/>
      <c r="D19" s="56"/>
      <c r="E19" s="57" t="s">
        <v>10</v>
      </c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8" t="s">
        <v>19</v>
      </c>
      <c r="U19" s="59" t="s">
        <v>5</v>
      </c>
    </row>
    <row r="20" spans="2:22" ht="13.5" thickTop="1" x14ac:dyDescent="0.2">
      <c r="B20" s="60"/>
      <c r="C20" s="61"/>
      <c r="D20" s="61"/>
      <c r="E20" s="62">
        <v>1</v>
      </c>
      <c r="F20" s="62">
        <v>2</v>
      </c>
      <c r="G20" s="62">
        <v>3</v>
      </c>
      <c r="H20" s="62">
        <v>4</v>
      </c>
      <c r="I20" s="62">
        <v>5</v>
      </c>
      <c r="J20" s="62">
        <v>6</v>
      </c>
      <c r="K20" s="62">
        <v>7</v>
      </c>
      <c r="L20" s="62">
        <v>8</v>
      </c>
      <c r="M20" s="62">
        <v>9</v>
      </c>
      <c r="N20" s="62">
        <v>10</v>
      </c>
      <c r="O20" s="62">
        <v>11</v>
      </c>
      <c r="P20" s="62">
        <v>12</v>
      </c>
      <c r="Q20" s="62">
        <v>13</v>
      </c>
      <c r="R20" s="62">
        <v>14</v>
      </c>
      <c r="S20" s="62">
        <v>15</v>
      </c>
      <c r="T20" s="63" t="s">
        <v>7</v>
      </c>
      <c r="U20" s="64" t="s">
        <v>7</v>
      </c>
    </row>
    <row r="21" spans="2:22" x14ac:dyDescent="0.2">
      <c r="B21" s="65">
        <f>IF(B9="","",B9)</f>
        <v>1</v>
      </c>
      <c r="C21" s="66" t="str">
        <f>IF(B21="","","FINANCIAMENTO")</f>
        <v>FINANCIAMENTO</v>
      </c>
      <c r="D21" s="66" t="s">
        <v>12</v>
      </c>
      <c r="E21" s="198">
        <f t="shared" ref="E21:S21" si="4">IF(E9="","",((E9/100)*$T$9)*$U$3)</f>
        <v>2466.864</v>
      </c>
      <c r="F21" s="198">
        <f t="shared" si="4"/>
        <v>0</v>
      </c>
      <c r="G21" s="198">
        <f t="shared" si="4"/>
        <v>0</v>
      </c>
      <c r="H21" s="198">
        <f t="shared" si="4"/>
        <v>0</v>
      </c>
      <c r="I21" s="198">
        <f t="shared" si="4"/>
        <v>0</v>
      </c>
      <c r="J21" s="198">
        <f t="shared" si="4"/>
        <v>0</v>
      </c>
      <c r="K21" s="198">
        <f t="shared" si="4"/>
        <v>0</v>
      </c>
      <c r="L21" s="198">
        <f t="shared" si="4"/>
        <v>0</v>
      </c>
      <c r="M21" s="198">
        <f t="shared" si="4"/>
        <v>0</v>
      </c>
      <c r="N21" s="198">
        <f t="shared" si="4"/>
        <v>0</v>
      </c>
      <c r="O21" s="198" t="str">
        <f t="shared" si="4"/>
        <v/>
      </c>
      <c r="P21" s="198" t="str">
        <f t="shared" si="4"/>
        <v/>
      </c>
      <c r="Q21" s="198" t="str">
        <f t="shared" si="4"/>
        <v/>
      </c>
      <c r="R21" s="198" t="str">
        <f t="shared" si="4"/>
        <v/>
      </c>
      <c r="S21" s="198" t="str">
        <f t="shared" si="4"/>
        <v/>
      </c>
      <c r="T21" s="67">
        <f>ROUND(SUM(E21:S21),2)</f>
        <v>2466.86</v>
      </c>
      <c r="U21" s="2">
        <f t="shared" ref="U21:U40" si="5">IF($T$45=0,0,(T21/$T$45))</f>
        <v>3.3912956570667984E-3</v>
      </c>
    </row>
    <row r="22" spans="2:22" x14ac:dyDescent="0.2">
      <c r="B22" s="65"/>
      <c r="C22" s="66" t="str">
        <f>IF(B21="","","CONTRAPARTIDA")</f>
        <v>CONTRAPARTIDA</v>
      </c>
      <c r="D22" s="66" t="s">
        <v>12</v>
      </c>
      <c r="E22" s="198">
        <f t="shared" ref="E22:S22" si="6">IF(E9="","",((E9/100)*$T$9)*$U$4)</f>
        <v>274.096</v>
      </c>
      <c r="F22" s="198">
        <f t="shared" si="6"/>
        <v>0</v>
      </c>
      <c r="G22" s="198">
        <f t="shared" si="6"/>
        <v>0</v>
      </c>
      <c r="H22" s="198">
        <f t="shared" si="6"/>
        <v>0</v>
      </c>
      <c r="I22" s="198">
        <f t="shared" si="6"/>
        <v>0</v>
      </c>
      <c r="J22" s="198">
        <f t="shared" si="6"/>
        <v>0</v>
      </c>
      <c r="K22" s="198">
        <f t="shared" si="6"/>
        <v>0</v>
      </c>
      <c r="L22" s="198">
        <f t="shared" si="6"/>
        <v>0</v>
      </c>
      <c r="M22" s="198">
        <f t="shared" si="6"/>
        <v>0</v>
      </c>
      <c r="N22" s="198">
        <f t="shared" si="6"/>
        <v>0</v>
      </c>
      <c r="O22" s="198" t="str">
        <f t="shared" si="6"/>
        <v/>
      </c>
      <c r="P22" s="198" t="str">
        <f t="shared" si="6"/>
        <v/>
      </c>
      <c r="Q22" s="198" t="str">
        <f t="shared" si="6"/>
        <v/>
      </c>
      <c r="R22" s="198" t="str">
        <f t="shared" si="6"/>
        <v/>
      </c>
      <c r="S22" s="198" t="str">
        <f t="shared" si="6"/>
        <v/>
      </c>
      <c r="T22" s="67">
        <f t="shared" ref="T22:T40" si="7">SUM(E22:S22)</f>
        <v>274.096</v>
      </c>
      <c r="U22" s="2">
        <f t="shared" si="5"/>
        <v>3.7681123955935121E-4</v>
      </c>
      <c r="V22" s="68"/>
    </row>
    <row r="23" spans="2:22" x14ac:dyDescent="0.2">
      <c r="B23" s="65">
        <f>IF(B10="","",B10)</f>
        <v>2</v>
      </c>
      <c r="C23" s="66" t="str">
        <f t="shared" ref="C23" si="8">IF(B23="","","FINANCIAMENTO")</f>
        <v>FINANCIAMENTO</v>
      </c>
      <c r="D23" s="66" t="s">
        <v>12</v>
      </c>
      <c r="E23" s="198">
        <f t="shared" ref="E23:S23" si="9">IF(E10="","",((E10/100)*$T$10)*$U$3)</f>
        <v>14631.321599999999</v>
      </c>
      <c r="F23" s="198">
        <f t="shared" si="9"/>
        <v>14631.321599999999</v>
      </c>
      <c r="G23" s="198">
        <f t="shared" si="9"/>
        <v>14631.321599999999</v>
      </c>
      <c r="H23" s="198">
        <f t="shared" si="9"/>
        <v>14631.321599999999</v>
      </c>
      <c r="I23" s="198">
        <f t="shared" si="9"/>
        <v>29262.643199999999</v>
      </c>
      <c r="J23" s="198">
        <f t="shared" si="9"/>
        <v>21946.982399999997</v>
      </c>
      <c r="K23" s="198">
        <f t="shared" si="9"/>
        <v>14631.321599999999</v>
      </c>
      <c r="L23" s="198">
        <f t="shared" si="9"/>
        <v>14631.321599999999</v>
      </c>
      <c r="M23" s="198">
        <f t="shared" si="9"/>
        <v>7315.6607999999997</v>
      </c>
      <c r="N23" s="198">
        <f t="shared" si="9"/>
        <v>0</v>
      </c>
      <c r="O23" s="198" t="str">
        <f t="shared" si="9"/>
        <v/>
      </c>
      <c r="P23" s="198" t="str">
        <f t="shared" si="9"/>
        <v/>
      </c>
      <c r="Q23" s="198" t="str">
        <f t="shared" si="9"/>
        <v/>
      </c>
      <c r="R23" s="198" t="str">
        <f t="shared" si="9"/>
        <v/>
      </c>
      <c r="S23" s="198" t="str">
        <f t="shared" si="9"/>
        <v/>
      </c>
      <c r="T23" s="67">
        <f t="shared" si="7"/>
        <v>146313.21600000001</v>
      </c>
      <c r="U23" s="2">
        <f t="shared" si="5"/>
        <v>0.20114289987768921</v>
      </c>
    </row>
    <row r="24" spans="2:22" x14ac:dyDescent="0.2">
      <c r="B24" s="65"/>
      <c r="C24" s="66" t="str">
        <f t="shared" ref="C24" si="10">IF(B23="","","CONTRAPARTIDA")</f>
        <v>CONTRAPARTIDA</v>
      </c>
      <c r="D24" s="66" t="s">
        <v>12</v>
      </c>
      <c r="E24" s="198">
        <f t="shared" ref="E24:S24" si="11">IF(E10="","",((E10/100)*$T$10)*$U$4)</f>
        <v>1625.7024000000001</v>
      </c>
      <c r="F24" s="198">
        <f t="shared" si="11"/>
        <v>1625.7024000000001</v>
      </c>
      <c r="G24" s="198">
        <f t="shared" si="11"/>
        <v>1625.7024000000001</v>
      </c>
      <c r="H24" s="198">
        <f t="shared" si="11"/>
        <v>1625.7024000000001</v>
      </c>
      <c r="I24" s="198">
        <f t="shared" si="11"/>
        <v>3251.4048000000003</v>
      </c>
      <c r="J24" s="198">
        <f t="shared" si="11"/>
        <v>2438.5535999999997</v>
      </c>
      <c r="K24" s="198">
        <f t="shared" si="11"/>
        <v>1625.7024000000001</v>
      </c>
      <c r="L24" s="198">
        <f t="shared" si="11"/>
        <v>1625.7024000000001</v>
      </c>
      <c r="M24" s="198">
        <f t="shared" si="11"/>
        <v>812.85120000000006</v>
      </c>
      <c r="N24" s="198">
        <f t="shared" si="11"/>
        <v>0</v>
      </c>
      <c r="O24" s="198" t="str">
        <f t="shared" si="11"/>
        <v/>
      </c>
      <c r="P24" s="198" t="str">
        <f t="shared" si="11"/>
        <v/>
      </c>
      <c r="Q24" s="198" t="str">
        <f t="shared" si="11"/>
        <v/>
      </c>
      <c r="R24" s="198" t="str">
        <f t="shared" si="11"/>
        <v/>
      </c>
      <c r="S24" s="198" t="str">
        <f t="shared" si="11"/>
        <v/>
      </c>
      <c r="T24" s="67">
        <f t="shared" si="7"/>
        <v>16257.024000000001</v>
      </c>
      <c r="U24" s="2">
        <f t="shared" si="5"/>
        <v>2.2349211097521023E-2</v>
      </c>
      <c r="V24" s="68"/>
    </row>
    <row r="25" spans="2:22" hidden="1" x14ac:dyDescent="0.2">
      <c r="B25" s="65" t="e">
        <f>IF(#REF!="","",#REF!)</f>
        <v>#REF!</v>
      </c>
      <c r="C25" s="66" t="e">
        <f t="shared" ref="C25" si="12">IF(B25="","","FINANCIAMENTO")</f>
        <v>#REF!</v>
      </c>
      <c r="D25" s="66" t="s">
        <v>12</v>
      </c>
      <c r="E25" s="198" t="e">
        <f>IF(#REF!="","",((#REF!/100)*#REF!)*$U$3)</f>
        <v>#REF!</v>
      </c>
      <c r="F25" s="198" t="e">
        <f>IF(#REF!="","",((#REF!/100)*#REF!)*$U$3)</f>
        <v>#REF!</v>
      </c>
      <c r="G25" s="198" t="e">
        <f>IF(#REF!="","",((#REF!/100)*#REF!)*$U$3)</f>
        <v>#REF!</v>
      </c>
      <c r="H25" s="198" t="e">
        <f>IF(#REF!="","",((#REF!/100)*#REF!)*$U$3)</f>
        <v>#REF!</v>
      </c>
      <c r="I25" s="198" t="e">
        <f>IF(#REF!="","",((#REF!/100)*#REF!)*$U$3)</f>
        <v>#REF!</v>
      </c>
      <c r="J25" s="198" t="e">
        <f>IF(#REF!="","",((#REF!/100)*#REF!)*$U$3)</f>
        <v>#REF!</v>
      </c>
      <c r="K25" s="198" t="e">
        <f>IF(#REF!="","",((#REF!/100)*#REF!)*$U$3)</f>
        <v>#REF!</v>
      </c>
      <c r="L25" s="198" t="e">
        <f>IF(#REF!="","",((#REF!/100)*#REF!)*$U$3)</f>
        <v>#REF!</v>
      </c>
      <c r="M25" s="198" t="e">
        <f>IF(#REF!="","",((#REF!/100)*#REF!)*$U$3)</f>
        <v>#REF!</v>
      </c>
      <c r="N25" s="198" t="e">
        <f>IF(#REF!="","",((#REF!/100)*#REF!)*$U$3)</f>
        <v>#REF!</v>
      </c>
      <c r="O25" s="198" t="e">
        <f>IF(#REF!="","",((#REF!/100)*#REF!)*$U$3)</f>
        <v>#REF!</v>
      </c>
      <c r="P25" s="198" t="e">
        <f>IF(#REF!="","",((#REF!/100)*#REF!)*$U$3)</f>
        <v>#REF!</v>
      </c>
      <c r="Q25" s="198" t="e">
        <f>IF(#REF!="","",((#REF!/100)*#REF!)*$U$3)</f>
        <v>#REF!</v>
      </c>
      <c r="R25" s="198" t="e">
        <f>IF(#REF!="","",((#REF!/100)*#REF!)*$U$3)</f>
        <v>#REF!</v>
      </c>
      <c r="S25" s="198" t="e">
        <f>IF(#REF!="","",((#REF!/100)*#REF!)*$U$3)</f>
        <v>#REF!</v>
      </c>
      <c r="T25" s="67" t="e">
        <f t="shared" si="7"/>
        <v>#REF!</v>
      </c>
      <c r="U25" s="2" t="e">
        <f t="shared" si="5"/>
        <v>#REF!</v>
      </c>
    </row>
    <row r="26" spans="2:22" hidden="1" x14ac:dyDescent="0.2">
      <c r="B26" s="65"/>
      <c r="C26" s="66" t="e">
        <f t="shared" ref="C26" si="13">IF(B25="","","CONTRAPARTIDA")</f>
        <v>#REF!</v>
      </c>
      <c r="D26" s="66" t="s">
        <v>12</v>
      </c>
      <c r="E26" s="198" t="e">
        <f>IF(#REF!="","",((#REF!/100)*#REF!)*$U$4)</f>
        <v>#REF!</v>
      </c>
      <c r="F26" s="198" t="e">
        <f>IF(#REF!="","",((#REF!/100)*#REF!)*$U$4)</f>
        <v>#REF!</v>
      </c>
      <c r="G26" s="198" t="e">
        <f>IF(#REF!="","",((#REF!/100)*#REF!)*$U$4)</f>
        <v>#REF!</v>
      </c>
      <c r="H26" s="198" t="e">
        <f>IF(#REF!="","",((#REF!/100)*#REF!)*$U$4)</f>
        <v>#REF!</v>
      </c>
      <c r="I26" s="198" t="e">
        <f>IF(#REF!="","",((#REF!/100)*#REF!)*$U$4)</f>
        <v>#REF!</v>
      </c>
      <c r="J26" s="198" t="e">
        <f>IF(#REF!="","",((#REF!/100)*#REF!)*$U$4)</f>
        <v>#REF!</v>
      </c>
      <c r="K26" s="198" t="e">
        <f>IF(#REF!="","",((#REF!/100)*#REF!)*$U$4)</f>
        <v>#REF!</v>
      </c>
      <c r="L26" s="198" t="e">
        <f>IF(#REF!="","",((#REF!/100)*#REF!)*$U$4)</f>
        <v>#REF!</v>
      </c>
      <c r="M26" s="198" t="e">
        <f>IF(#REF!="","",((#REF!/100)*#REF!)*$U$4)</f>
        <v>#REF!</v>
      </c>
      <c r="N26" s="198" t="e">
        <f>IF(#REF!="","",((#REF!/100)*#REF!)*$U$4)</f>
        <v>#REF!</v>
      </c>
      <c r="O26" s="198" t="e">
        <f>IF(#REF!="","",((#REF!/100)*#REF!)*$U$4)</f>
        <v>#REF!</v>
      </c>
      <c r="P26" s="198" t="e">
        <f>IF(#REF!="","",((#REF!/100)*#REF!)*$U$4)</f>
        <v>#REF!</v>
      </c>
      <c r="Q26" s="198" t="e">
        <f>IF(#REF!="","",((#REF!/100)*#REF!)*$U$4)</f>
        <v>#REF!</v>
      </c>
      <c r="R26" s="198" t="e">
        <f>IF(#REF!="","",((#REF!/100)*#REF!)*$U$4)</f>
        <v>#REF!</v>
      </c>
      <c r="S26" s="198" t="e">
        <f>IF(#REF!="","",((#REF!/100)*#REF!)*$U$4)</f>
        <v>#REF!</v>
      </c>
      <c r="T26" s="67" t="e">
        <f t="shared" si="7"/>
        <v>#REF!</v>
      </c>
      <c r="U26" s="2" t="e">
        <f t="shared" si="5"/>
        <v>#REF!</v>
      </c>
      <c r="V26" s="68"/>
    </row>
    <row r="27" spans="2:22" hidden="1" x14ac:dyDescent="0.2">
      <c r="B27" s="65" t="e">
        <f>IF(#REF!="","",#REF!)</f>
        <v>#REF!</v>
      </c>
      <c r="C27" s="66" t="e">
        <f t="shared" ref="C27" si="14">IF(B27="","","FINANCIAMENTO")</f>
        <v>#REF!</v>
      </c>
      <c r="D27" s="66" t="s">
        <v>12</v>
      </c>
      <c r="E27" s="198" t="e">
        <f>IF(#REF!="","",((#REF!/100)*#REF!)*$U$3)</f>
        <v>#REF!</v>
      </c>
      <c r="F27" s="198" t="e">
        <f>IF(#REF!="","",((#REF!/100)*#REF!)*$U$3)</f>
        <v>#REF!</v>
      </c>
      <c r="G27" s="198" t="e">
        <f>IF(#REF!="","",((#REF!/100)*#REF!)*$U$3)</f>
        <v>#REF!</v>
      </c>
      <c r="H27" s="198" t="e">
        <f>IF(#REF!="","",((#REF!/100)*#REF!)*$U$3)</f>
        <v>#REF!</v>
      </c>
      <c r="I27" s="198" t="e">
        <f>IF(#REF!="","",((#REF!/100)*#REF!)*$U$3)</f>
        <v>#REF!</v>
      </c>
      <c r="J27" s="198" t="e">
        <f>IF(#REF!="","",((#REF!/100)*#REF!)*$U$3)</f>
        <v>#REF!</v>
      </c>
      <c r="K27" s="198" t="e">
        <f>IF(#REF!="","",((#REF!/100)*#REF!)*$U$3)</f>
        <v>#REF!</v>
      </c>
      <c r="L27" s="198" t="e">
        <f>IF(#REF!="","",((#REF!/100)*#REF!)*$U$3)</f>
        <v>#REF!</v>
      </c>
      <c r="M27" s="198" t="e">
        <f>IF(#REF!="","",((#REF!/100)*#REF!)*$U$3)</f>
        <v>#REF!</v>
      </c>
      <c r="N27" s="198" t="e">
        <f>IF(#REF!="","",((#REF!/100)*#REF!)*$U$3)</f>
        <v>#REF!</v>
      </c>
      <c r="O27" s="198" t="e">
        <f>IF(#REF!="","",((#REF!/100)*#REF!)*$U$3)</f>
        <v>#REF!</v>
      </c>
      <c r="P27" s="198" t="e">
        <f>IF(#REF!="","",((#REF!/100)*#REF!)*$U$3)</f>
        <v>#REF!</v>
      </c>
      <c r="Q27" s="198" t="e">
        <f>IF(#REF!="","",((#REF!/100)*#REF!)*$U$3)</f>
        <v>#REF!</v>
      </c>
      <c r="R27" s="198" t="e">
        <f>IF(#REF!="","",((#REF!/100)*#REF!)*$U$3)</f>
        <v>#REF!</v>
      </c>
      <c r="S27" s="198" t="e">
        <f>IF(#REF!="","",((#REF!/100)*#REF!)*$U$3)</f>
        <v>#REF!</v>
      </c>
      <c r="T27" s="67" t="e">
        <f t="shared" si="7"/>
        <v>#REF!</v>
      </c>
      <c r="U27" s="2" t="e">
        <f t="shared" si="5"/>
        <v>#REF!</v>
      </c>
    </row>
    <row r="28" spans="2:22" hidden="1" x14ac:dyDescent="0.2">
      <c r="B28" s="65"/>
      <c r="C28" s="66" t="e">
        <f t="shared" ref="C28" si="15">IF(B27="","","CONTRAPARTIDA")</f>
        <v>#REF!</v>
      </c>
      <c r="D28" s="66" t="s">
        <v>12</v>
      </c>
      <c r="E28" s="198" t="e">
        <f>IF(#REF!="","",((#REF!/100)*#REF!)*$U$4)</f>
        <v>#REF!</v>
      </c>
      <c r="F28" s="198" t="e">
        <f>IF(#REF!="","",((#REF!/100)*#REF!)*$U$4)</f>
        <v>#REF!</v>
      </c>
      <c r="G28" s="198" t="e">
        <f>IF(#REF!="","",((#REF!/100)*#REF!)*$U$4)</f>
        <v>#REF!</v>
      </c>
      <c r="H28" s="198" t="e">
        <f>IF(#REF!="","",((#REF!/100)*#REF!)*$U$4)</f>
        <v>#REF!</v>
      </c>
      <c r="I28" s="198" t="e">
        <f>IF(#REF!="","",((#REF!/100)*#REF!)*$U$4)</f>
        <v>#REF!</v>
      </c>
      <c r="J28" s="198" t="e">
        <f>IF(#REF!="","",((#REF!/100)*#REF!)*$U$4)</f>
        <v>#REF!</v>
      </c>
      <c r="K28" s="198" t="e">
        <f>IF(#REF!="","",((#REF!/100)*#REF!)*$U$4)</f>
        <v>#REF!</v>
      </c>
      <c r="L28" s="198" t="e">
        <f>IF(#REF!="","",((#REF!/100)*#REF!)*$U$4)</f>
        <v>#REF!</v>
      </c>
      <c r="M28" s="198" t="e">
        <f>IF(#REF!="","",((#REF!/100)*#REF!)*$U$4)</f>
        <v>#REF!</v>
      </c>
      <c r="N28" s="198" t="e">
        <f>IF(#REF!="","",((#REF!/100)*#REF!)*$U$4)</f>
        <v>#REF!</v>
      </c>
      <c r="O28" s="198" t="e">
        <f>IF(#REF!="","",((#REF!/100)*#REF!)*$U$4)</f>
        <v>#REF!</v>
      </c>
      <c r="P28" s="198" t="e">
        <f>IF(#REF!="","",((#REF!/100)*#REF!)*$U$4)</f>
        <v>#REF!</v>
      </c>
      <c r="Q28" s="198" t="e">
        <f>IF(#REF!="","",((#REF!/100)*#REF!)*$U$4)</f>
        <v>#REF!</v>
      </c>
      <c r="R28" s="198" t="e">
        <f>IF(#REF!="","",((#REF!/100)*#REF!)*$U$4)</f>
        <v>#REF!</v>
      </c>
      <c r="S28" s="198" t="e">
        <f>IF(#REF!="","",((#REF!/100)*#REF!)*$U$4)</f>
        <v>#REF!</v>
      </c>
      <c r="T28" s="67" t="e">
        <f t="shared" si="7"/>
        <v>#REF!</v>
      </c>
      <c r="U28" s="2" t="e">
        <f t="shared" si="5"/>
        <v>#REF!</v>
      </c>
      <c r="V28" s="68"/>
    </row>
    <row r="29" spans="2:22" hidden="1" x14ac:dyDescent="0.2">
      <c r="B29" s="65" t="e">
        <f>IF(#REF!="","",#REF!)</f>
        <v>#REF!</v>
      </c>
      <c r="C29" s="66" t="e">
        <f t="shared" ref="C29" si="16">IF(B29="","","FINANCIAMENTO")</f>
        <v>#REF!</v>
      </c>
      <c r="D29" s="66" t="s">
        <v>12</v>
      </c>
      <c r="E29" s="198" t="e">
        <f>IF(#REF!="","",((#REF!/100)*#REF!)*$U$3)</f>
        <v>#REF!</v>
      </c>
      <c r="F29" s="198" t="e">
        <f>IF(#REF!="","",((#REF!/100)*#REF!)*$U$3)</f>
        <v>#REF!</v>
      </c>
      <c r="G29" s="198" t="e">
        <f>IF(#REF!="","",((#REF!/100)*#REF!)*$U$3)</f>
        <v>#REF!</v>
      </c>
      <c r="H29" s="198" t="e">
        <f>IF(#REF!="","",((#REF!/100)*#REF!)*$U$3)</f>
        <v>#REF!</v>
      </c>
      <c r="I29" s="198" t="e">
        <f>IF(#REF!="","",((#REF!/100)*#REF!)*$U$3)</f>
        <v>#REF!</v>
      </c>
      <c r="J29" s="198" t="e">
        <f>IF(#REF!="","",((#REF!/100)*#REF!)*$U$3)</f>
        <v>#REF!</v>
      </c>
      <c r="K29" s="198" t="e">
        <f>IF(#REF!="","",((#REF!/100)*#REF!)*$U$3)</f>
        <v>#REF!</v>
      </c>
      <c r="L29" s="198" t="e">
        <f>IF(#REF!="","",((#REF!/100)*#REF!)*$U$3)</f>
        <v>#REF!</v>
      </c>
      <c r="M29" s="198" t="e">
        <f>IF(#REF!="","",((#REF!/100)*#REF!)*$U$3)</f>
        <v>#REF!</v>
      </c>
      <c r="N29" s="198" t="e">
        <f>IF(#REF!="","",((#REF!/100)*#REF!)*$U$3)</f>
        <v>#REF!</v>
      </c>
      <c r="O29" s="198" t="e">
        <f>IF(#REF!="","",((#REF!/100)*#REF!)*$U$3)</f>
        <v>#REF!</v>
      </c>
      <c r="P29" s="198" t="e">
        <f>IF(#REF!="","",((#REF!/100)*#REF!)*$U$3)</f>
        <v>#REF!</v>
      </c>
      <c r="Q29" s="198" t="e">
        <f>IF(#REF!="","",((#REF!/100)*#REF!)*$U$3)</f>
        <v>#REF!</v>
      </c>
      <c r="R29" s="198" t="e">
        <f>IF(#REF!="","",((#REF!/100)*#REF!)*$U$3)</f>
        <v>#REF!</v>
      </c>
      <c r="S29" s="198" t="e">
        <f>IF(#REF!="","",((#REF!/100)*#REF!)*$U$3)</f>
        <v>#REF!</v>
      </c>
      <c r="T29" s="67" t="e">
        <f t="shared" si="7"/>
        <v>#REF!</v>
      </c>
      <c r="U29" s="2" t="e">
        <f t="shared" si="5"/>
        <v>#REF!</v>
      </c>
    </row>
    <row r="30" spans="2:22" hidden="1" x14ac:dyDescent="0.2">
      <c r="B30" s="65"/>
      <c r="C30" s="66" t="e">
        <f t="shared" ref="C30" si="17">IF(B29="","","CONTRAPARTIDA")</f>
        <v>#REF!</v>
      </c>
      <c r="D30" s="66" t="s">
        <v>12</v>
      </c>
      <c r="E30" s="198" t="e">
        <f>IF(#REF!="","",((#REF!/100)*#REF!)*$U$4)</f>
        <v>#REF!</v>
      </c>
      <c r="F30" s="198" t="e">
        <f>IF(#REF!="","",((#REF!/100)*#REF!)*$U$4)</f>
        <v>#REF!</v>
      </c>
      <c r="G30" s="198" t="e">
        <f>IF(#REF!="","",((#REF!/100)*#REF!)*$U$4)</f>
        <v>#REF!</v>
      </c>
      <c r="H30" s="198" t="e">
        <f>IF(#REF!="","",((#REF!/100)*#REF!)*$U$4)</f>
        <v>#REF!</v>
      </c>
      <c r="I30" s="198" t="e">
        <f>IF(#REF!="","",((#REF!/100)*#REF!)*$U$4)</f>
        <v>#REF!</v>
      </c>
      <c r="J30" s="198" t="e">
        <f>IF(#REF!="","",((#REF!/100)*#REF!)*$U$4)</f>
        <v>#REF!</v>
      </c>
      <c r="K30" s="198" t="e">
        <f>IF(#REF!="","",((#REF!/100)*#REF!)*$U$4)</f>
        <v>#REF!</v>
      </c>
      <c r="L30" s="198" t="e">
        <f>IF(#REF!="","",((#REF!/100)*#REF!)*$U$4)</f>
        <v>#REF!</v>
      </c>
      <c r="M30" s="198" t="e">
        <f>IF(#REF!="","",((#REF!/100)*#REF!)*$U$4)</f>
        <v>#REF!</v>
      </c>
      <c r="N30" s="198" t="e">
        <f>IF(#REF!="","",((#REF!/100)*#REF!)*$U$4)</f>
        <v>#REF!</v>
      </c>
      <c r="O30" s="198" t="e">
        <f>IF(#REF!="","",((#REF!/100)*#REF!)*$U$4)</f>
        <v>#REF!</v>
      </c>
      <c r="P30" s="198" t="e">
        <f>IF(#REF!="","",((#REF!/100)*#REF!)*$U$4)</f>
        <v>#REF!</v>
      </c>
      <c r="Q30" s="198" t="e">
        <f>IF(#REF!="","",((#REF!/100)*#REF!)*$U$4)</f>
        <v>#REF!</v>
      </c>
      <c r="R30" s="198" t="e">
        <f>IF(#REF!="","",((#REF!/100)*#REF!)*$U$4)</f>
        <v>#REF!</v>
      </c>
      <c r="S30" s="198" t="e">
        <f>IF(#REF!="","",((#REF!/100)*#REF!)*$U$4)</f>
        <v>#REF!</v>
      </c>
      <c r="T30" s="67" t="e">
        <f t="shared" si="7"/>
        <v>#REF!</v>
      </c>
      <c r="U30" s="2" t="e">
        <f t="shared" si="5"/>
        <v>#REF!</v>
      </c>
      <c r="V30" s="68"/>
    </row>
    <row r="31" spans="2:22" x14ac:dyDescent="0.2">
      <c r="B31" s="65">
        <f>IF(B11="","",B11)</f>
        <v>3</v>
      </c>
      <c r="C31" s="66" t="str">
        <f t="shared" ref="C31" si="18">IF(B31="","","FINANCIAMENTO")</f>
        <v>FINANCIAMENTO</v>
      </c>
      <c r="D31" s="66" t="s">
        <v>12</v>
      </c>
      <c r="E31" s="198">
        <f t="shared" ref="E31:S31" si="19">IF(E11="","",((E11/100)*$T$11)*$U$3)</f>
        <v>6822.1440000000011</v>
      </c>
      <c r="F31" s="198">
        <f t="shared" si="19"/>
        <v>6822.1440000000011</v>
      </c>
      <c r="G31" s="198">
        <f t="shared" si="19"/>
        <v>6822.1440000000011</v>
      </c>
      <c r="H31" s="198">
        <f t="shared" si="19"/>
        <v>6822.1440000000011</v>
      </c>
      <c r="I31" s="198">
        <f t="shared" si="19"/>
        <v>6822.1440000000011</v>
      </c>
      <c r="J31" s="198">
        <f t="shared" si="19"/>
        <v>6822.1440000000011</v>
      </c>
      <c r="K31" s="198">
        <f t="shared" si="19"/>
        <v>6822.1440000000011</v>
      </c>
      <c r="L31" s="198">
        <f t="shared" si="19"/>
        <v>6822.1440000000011</v>
      </c>
      <c r="M31" s="198">
        <f t="shared" si="19"/>
        <v>6822.1440000000011</v>
      </c>
      <c r="N31" s="198">
        <f t="shared" si="19"/>
        <v>6822.1440000000011</v>
      </c>
      <c r="O31" s="198" t="str">
        <f t="shared" si="19"/>
        <v/>
      </c>
      <c r="P31" s="198" t="str">
        <f t="shared" si="19"/>
        <v/>
      </c>
      <c r="Q31" s="198" t="str">
        <f t="shared" si="19"/>
        <v/>
      </c>
      <c r="R31" s="198" t="str">
        <f t="shared" si="19"/>
        <v/>
      </c>
      <c r="S31" s="198" t="str">
        <f t="shared" si="19"/>
        <v/>
      </c>
      <c r="T31" s="67">
        <f t="shared" si="7"/>
        <v>68221.440000000017</v>
      </c>
      <c r="U31" s="2">
        <f t="shared" si="5"/>
        <v>9.3786867998525744E-2</v>
      </c>
    </row>
    <row r="32" spans="2:22" x14ac:dyDescent="0.2">
      <c r="B32" s="65"/>
      <c r="C32" s="66" t="str">
        <f>IF(B31="","","CONTRAPARTIDA")</f>
        <v>CONTRAPARTIDA</v>
      </c>
      <c r="D32" s="66" t="s">
        <v>12</v>
      </c>
      <c r="E32" s="198">
        <f t="shared" ref="E32:S32" si="20">IF(E11="","",((E11/100)*$T$11)*$U$4)</f>
        <v>758.01600000000008</v>
      </c>
      <c r="F32" s="198">
        <f t="shared" si="20"/>
        <v>758.01600000000008</v>
      </c>
      <c r="G32" s="198">
        <f t="shared" si="20"/>
        <v>758.01600000000008</v>
      </c>
      <c r="H32" s="198">
        <f t="shared" si="20"/>
        <v>758.01600000000008</v>
      </c>
      <c r="I32" s="198">
        <f t="shared" si="20"/>
        <v>758.01600000000008</v>
      </c>
      <c r="J32" s="198">
        <f t="shared" si="20"/>
        <v>758.01600000000008</v>
      </c>
      <c r="K32" s="198">
        <f t="shared" si="20"/>
        <v>758.01600000000008</v>
      </c>
      <c r="L32" s="198">
        <f t="shared" si="20"/>
        <v>758.01600000000008</v>
      </c>
      <c r="M32" s="198">
        <f t="shared" si="20"/>
        <v>758.01600000000008</v>
      </c>
      <c r="N32" s="198">
        <f t="shared" si="20"/>
        <v>758.01600000000008</v>
      </c>
      <c r="O32" s="198" t="str">
        <f t="shared" si="20"/>
        <v/>
      </c>
      <c r="P32" s="198" t="str">
        <f t="shared" si="20"/>
        <v/>
      </c>
      <c r="Q32" s="198" t="str">
        <f t="shared" si="20"/>
        <v/>
      </c>
      <c r="R32" s="198" t="str">
        <f t="shared" si="20"/>
        <v/>
      </c>
      <c r="S32" s="198" t="str">
        <f t="shared" si="20"/>
        <v/>
      </c>
      <c r="T32" s="67">
        <f t="shared" si="7"/>
        <v>7580.16</v>
      </c>
      <c r="U32" s="2">
        <f t="shared" si="5"/>
        <v>1.0420763110947303E-2</v>
      </c>
      <c r="V32" s="68"/>
    </row>
    <row r="33" spans="2:22" x14ac:dyDescent="0.2">
      <c r="B33" s="65">
        <f>IF(B12="","",B12)</f>
        <v>4</v>
      </c>
      <c r="C33" s="66" t="str">
        <f t="shared" ref="C33" si="21">IF(B33="","","FINANCIAMENTO")</f>
        <v>FINANCIAMENTO</v>
      </c>
      <c r="D33" s="66" t="s">
        <v>12</v>
      </c>
      <c r="E33" s="198">
        <f t="shared" ref="E33:S33" si="22">IF(E12="","",((E12/100)*$T$12)*$U$3)</f>
        <v>18289.151999999998</v>
      </c>
      <c r="F33" s="198">
        <f t="shared" si="22"/>
        <v>18289.151999999998</v>
      </c>
      <c r="G33" s="198">
        <f t="shared" si="22"/>
        <v>18289.151999999998</v>
      </c>
      <c r="H33" s="198">
        <f t="shared" si="22"/>
        <v>18289.151999999998</v>
      </c>
      <c r="I33" s="198">
        <f t="shared" si="22"/>
        <v>18289.151999999998</v>
      </c>
      <c r="J33" s="198">
        <f t="shared" si="22"/>
        <v>18289.151999999998</v>
      </c>
      <c r="K33" s="198">
        <f t="shared" si="22"/>
        <v>18289.151999999998</v>
      </c>
      <c r="L33" s="198">
        <f t="shared" si="22"/>
        <v>18289.151999999998</v>
      </c>
      <c r="M33" s="198">
        <f t="shared" si="22"/>
        <v>18289.151999999998</v>
      </c>
      <c r="N33" s="198">
        <f t="shared" si="22"/>
        <v>18289.151999999998</v>
      </c>
      <c r="O33" s="198" t="str">
        <f t="shared" si="22"/>
        <v/>
      </c>
      <c r="P33" s="198" t="str">
        <f t="shared" si="22"/>
        <v/>
      </c>
      <c r="Q33" s="198" t="str">
        <f t="shared" si="22"/>
        <v/>
      </c>
      <c r="R33" s="198" t="str">
        <f t="shared" si="22"/>
        <v/>
      </c>
      <c r="S33" s="198" t="str">
        <f t="shared" si="22"/>
        <v/>
      </c>
      <c r="T33" s="67">
        <f t="shared" si="7"/>
        <v>182891.51999999999</v>
      </c>
      <c r="U33" s="2">
        <f t="shared" si="5"/>
        <v>0.25142862484711148</v>
      </c>
    </row>
    <row r="34" spans="2:22" x14ac:dyDescent="0.2">
      <c r="B34" s="65"/>
      <c r="C34" s="66" t="str">
        <f t="shared" ref="C34" si="23">IF(B33="","","CONTRAPARTIDA")</f>
        <v>CONTRAPARTIDA</v>
      </c>
      <c r="D34" s="66" t="s">
        <v>12</v>
      </c>
      <c r="E34" s="198">
        <f t="shared" ref="E34:S34" si="24">IF(E12="","",((E12/100)*$T$12)*$U$4)</f>
        <v>2032.1279999999999</v>
      </c>
      <c r="F34" s="198">
        <f t="shared" si="24"/>
        <v>2032.1279999999999</v>
      </c>
      <c r="G34" s="198">
        <f t="shared" si="24"/>
        <v>2032.1279999999999</v>
      </c>
      <c r="H34" s="198">
        <f t="shared" si="24"/>
        <v>2032.1279999999999</v>
      </c>
      <c r="I34" s="198">
        <f t="shared" si="24"/>
        <v>2032.1279999999999</v>
      </c>
      <c r="J34" s="198">
        <f t="shared" si="24"/>
        <v>2032.1279999999999</v>
      </c>
      <c r="K34" s="198">
        <f t="shared" si="24"/>
        <v>2032.1279999999999</v>
      </c>
      <c r="L34" s="198">
        <f t="shared" si="24"/>
        <v>2032.1279999999999</v>
      </c>
      <c r="M34" s="198">
        <f t="shared" si="24"/>
        <v>2032.1279999999999</v>
      </c>
      <c r="N34" s="198">
        <f t="shared" si="24"/>
        <v>2032.1279999999999</v>
      </c>
      <c r="O34" s="198" t="str">
        <f t="shared" si="24"/>
        <v/>
      </c>
      <c r="P34" s="198" t="str">
        <f t="shared" si="24"/>
        <v/>
      </c>
      <c r="Q34" s="198" t="str">
        <f t="shared" si="24"/>
        <v/>
      </c>
      <c r="R34" s="198" t="str">
        <f t="shared" si="24"/>
        <v/>
      </c>
      <c r="S34" s="198" t="str">
        <f t="shared" si="24"/>
        <v/>
      </c>
      <c r="T34" s="67">
        <f t="shared" si="7"/>
        <v>20321.280000000002</v>
      </c>
      <c r="U34" s="2">
        <f t="shared" si="5"/>
        <v>2.7936513871901283E-2</v>
      </c>
      <c r="V34" s="68"/>
    </row>
    <row r="35" spans="2:22" x14ac:dyDescent="0.2">
      <c r="B35" s="65">
        <f>IF(B13="","",B13)</f>
        <v>5</v>
      </c>
      <c r="C35" s="66" t="str">
        <f t="shared" ref="C35" si="25">IF(B35="","","FINANCIAMENTO")</f>
        <v>FINANCIAMENTO</v>
      </c>
      <c r="D35" s="66" t="s">
        <v>12</v>
      </c>
      <c r="E35" s="198">
        <f t="shared" ref="E35:S35" si="26">IF(E13="","",((E13/100)*$T$13)*$U$3)</f>
        <v>8527.68</v>
      </c>
      <c r="F35" s="198">
        <f t="shared" si="26"/>
        <v>8527.68</v>
      </c>
      <c r="G35" s="198">
        <f t="shared" si="26"/>
        <v>8527.68</v>
      </c>
      <c r="H35" s="198">
        <f t="shared" si="26"/>
        <v>8527.68</v>
      </c>
      <c r="I35" s="198">
        <f t="shared" si="26"/>
        <v>8527.68</v>
      </c>
      <c r="J35" s="198">
        <f t="shared" si="26"/>
        <v>8527.68</v>
      </c>
      <c r="K35" s="198">
        <f t="shared" si="26"/>
        <v>8527.68</v>
      </c>
      <c r="L35" s="198">
        <f t="shared" si="26"/>
        <v>8527.68</v>
      </c>
      <c r="M35" s="198">
        <f t="shared" si="26"/>
        <v>8527.68</v>
      </c>
      <c r="N35" s="198">
        <f t="shared" si="26"/>
        <v>8527.68</v>
      </c>
      <c r="O35" s="198" t="str">
        <f t="shared" si="26"/>
        <v/>
      </c>
      <c r="P35" s="198" t="str">
        <f t="shared" si="26"/>
        <v/>
      </c>
      <c r="Q35" s="198" t="str">
        <f t="shared" si="26"/>
        <v/>
      </c>
      <c r="R35" s="198" t="str">
        <f t="shared" si="26"/>
        <v/>
      </c>
      <c r="S35" s="198" t="str">
        <f t="shared" si="26"/>
        <v/>
      </c>
      <c r="T35" s="67">
        <f t="shared" si="7"/>
        <v>85276.799999999988</v>
      </c>
      <c r="U35" s="2">
        <f t="shared" si="5"/>
        <v>0.11723358499815713</v>
      </c>
    </row>
    <row r="36" spans="2:22" x14ac:dyDescent="0.2">
      <c r="B36" s="65"/>
      <c r="C36" s="66" t="str">
        <f t="shared" ref="C36" si="27">IF(B35="","","CONTRAPARTIDA")</f>
        <v>CONTRAPARTIDA</v>
      </c>
      <c r="D36" s="66" t="s">
        <v>12</v>
      </c>
      <c r="E36" s="198">
        <f t="shared" ref="E36:S36" si="28">IF(E13="","",((E13/100)*$T$13)*$U$4)</f>
        <v>947.5200000000001</v>
      </c>
      <c r="F36" s="198">
        <f t="shared" si="28"/>
        <v>947.5200000000001</v>
      </c>
      <c r="G36" s="198">
        <f t="shared" si="28"/>
        <v>947.5200000000001</v>
      </c>
      <c r="H36" s="198">
        <f t="shared" si="28"/>
        <v>947.5200000000001</v>
      </c>
      <c r="I36" s="198">
        <f t="shared" si="28"/>
        <v>947.5200000000001</v>
      </c>
      <c r="J36" s="198">
        <f t="shared" si="28"/>
        <v>947.5200000000001</v>
      </c>
      <c r="K36" s="198">
        <f t="shared" si="28"/>
        <v>947.5200000000001</v>
      </c>
      <c r="L36" s="198">
        <f t="shared" si="28"/>
        <v>947.5200000000001</v>
      </c>
      <c r="M36" s="198">
        <f t="shared" si="28"/>
        <v>947.5200000000001</v>
      </c>
      <c r="N36" s="198">
        <f t="shared" si="28"/>
        <v>947.5200000000001</v>
      </c>
      <c r="O36" s="198" t="str">
        <f t="shared" si="28"/>
        <v/>
      </c>
      <c r="P36" s="198" t="str">
        <f t="shared" si="28"/>
        <v/>
      </c>
      <c r="Q36" s="198" t="str">
        <f t="shared" si="28"/>
        <v/>
      </c>
      <c r="R36" s="198" t="str">
        <f t="shared" si="28"/>
        <v/>
      </c>
      <c r="S36" s="198" t="str">
        <f t="shared" si="28"/>
        <v/>
      </c>
      <c r="T36" s="67">
        <f t="shared" si="7"/>
        <v>9475.2000000000025</v>
      </c>
      <c r="U36" s="2">
        <f t="shared" si="5"/>
        <v>1.3025953888684131E-2</v>
      </c>
      <c r="V36" s="68"/>
    </row>
    <row r="37" spans="2:22" x14ac:dyDescent="0.2">
      <c r="B37" s="65">
        <f>IF(B14="","",B14)</f>
        <v>6</v>
      </c>
      <c r="C37" s="66" t="str">
        <f t="shared" ref="C37" si="29">IF(B37="","","FINANCIAMENTO")</f>
        <v>FINANCIAMENTO</v>
      </c>
      <c r="D37" s="66" t="s">
        <v>12</v>
      </c>
      <c r="E37" s="198">
        <f t="shared" ref="E37:S37" si="30">IF(E14="","",((E14/100)*$T$14)*$U$3)</f>
        <v>11662.691400000002</v>
      </c>
      <c r="F37" s="198">
        <f t="shared" si="30"/>
        <v>11662.691400000002</v>
      </c>
      <c r="G37" s="198">
        <f t="shared" si="30"/>
        <v>11662.691400000002</v>
      </c>
      <c r="H37" s="198">
        <f t="shared" si="30"/>
        <v>11662.691400000002</v>
      </c>
      <c r="I37" s="198">
        <f t="shared" si="30"/>
        <v>11662.691400000002</v>
      </c>
      <c r="J37" s="198">
        <f t="shared" si="30"/>
        <v>11662.691400000002</v>
      </c>
      <c r="K37" s="198">
        <f t="shared" si="30"/>
        <v>11662.691400000002</v>
      </c>
      <c r="L37" s="198">
        <f t="shared" si="30"/>
        <v>11662.691400000002</v>
      </c>
      <c r="M37" s="198">
        <f t="shared" si="30"/>
        <v>11662.691400000002</v>
      </c>
      <c r="N37" s="198">
        <f t="shared" si="30"/>
        <v>11662.691400000002</v>
      </c>
      <c r="O37" s="198" t="str">
        <f t="shared" si="30"/>
        <v/>
      </c>
      <c r="P37" s="198" t="str">
        <f t="shared" si="30"/>
        <v/>
      </c>
      <c r="Q37" s="198" t="str">
        <f t="shared" si="30"/>
        <v/>
      </c>
      <c r="R37" s="198" t="str">
        <f t="shared" si="30"/>
        <v/>
      </c>
      <c r="S37" s="198" t="str">
        <f t="shared" si="30"/>
        <v/>
      </c>
      <c r="T37" s="67">
        <f t="shared" si="7"/>
        <v>116626.91399999999</v>
      </c>
      <c r="U37" s="2">
        <f t="shared" si="5"/>
        <v>0.16033189842362475</v>
      </c>
    </row>
    <row r="38" spans="2:22" x14ac:dyDescent="0.2">
      <c r="B38" s="65"/>
      <c r="C38" s="66" t="str">
        <f t="shared" ref="C38" si="31">IF(B37="","","CONTRAPARTIDA")</f>
        <v>CONTRAPARTIDA</v>
      </c>
      <c r="D38" s="66" t="s">
        <v>12</v>
      </c>
      <c r="E38" s="198">
        <f t="shared" ref="E38:S38" si="32">IF(E14="","",((E14/100)*$T$14)*$U$4)</f>
        <v>1295.8546000000003</v>
      </c>
      <c r="F38" s="198">
        <f t="shared" si="32"/>
        <v>1295.8546000000003</v>
      </c>
      <c r="G38" s="198">
        <f t="shared" si="32"/>
        <v>1295.8546000000003</v>
      </c>
      <c r="H38" s="198">
        <f t="shared" si="32"/>
        <v>1295.8546000000003</v>
      </c>
      <c r="I38" s="198">
        <f t="shared" si="32"/>
        <v>1295.8546000000003</v>
      </c>
      <c r="J38" s="198">
        <f t="shared" si="32"/>
        <v>1295.8546000000003</v>
      </c>
      <c r="K38" s="198">
        <f t="shared" si="32"/>
        <v>1295.8546000000003</v>
      </c>
      <c r="L38" s="198">
        <f t="shared" si="32"/>
        <v>1295.8546000000003</v>
      </c>
      <c r="M38" s="198">
        <f t="shared" si="32"/>
        <v>1295.8546000000003</v>
      </c>
      <c r="N38" s="198">
        <f t="shared" si="32"/>
        <v>1295.8546000000003</v>
      </c>
      <c r="O38" s="198" t="str">
        <f t="shared" si="32"/>
        <v/>
      </c>
      <c r="P38" s="198" t="str">
        <f t="shared" si="32"/>
        <v/>
      </c>
      <c r="Q38" s="198" t="str">
        <f t="shared" si="32"/>
        <v/>
      </c>
      <c r="R38" s="198" t="str">
        <f t="shared" si="32"/>
        <v/>
      </c>
      <c r="S38" s="198" t="str">
        <f t="shared" si="32"/>
        <v/>
      </c>
      <c r="T38" s="67">
        <f t="shared" si="7"/>
        <v>12958.546000000004</v>
      </c>
      <c r="U38" s="2">
        <f t="shared" si="5"/>
        <v>1.7814655380402757E-2</v>
      </c>
      <c r="V38" s="68"/>
    </row>
    <row r="39" spans="2:22" x14ac:dyDescent="0.2">
      <c r="B39" s="65">
        <f>IF(B15="","",B15)</f>
        <v>7</v>
      </c>
      <c r="C39" s="66" t="str">
        <f t="shared" ref="C39" si="33">IF(B39="","","FINANCIAMENTO")</f>
        <v>FINANCIAMENTO</v>
      </c>
      <c r="D39" s="66" t="s">
        <v>12</v>
      </c>
      <c r="E39" s="198">
        <f t="shared" ref="E39:S39" si="34">IF(E15="","",((E15/100)*$T$15)*$U$3)</f>
        <v>5287.1616000000004</v>
      </c>
      <c r="F39" s="198">
        <f t="shared" si="34"/>
        <v>5287.1616000000004</v>
      </c>
      <c r="G39" s="198">
        <f t="shared" si="34"/>
        <v>5287.1616000000004</v>
      </c>
      <c r="H39" s="198">
        <f t="shared" si="34"/>
        <v>5287.1616000000004</v>
      </c>
      <c r="I39" s="198">
        <f t="shared" si="34"/>
        <v>5287.1616000000004</v>
      </c>
      <c r="J39" s="198">
        <f t="shared" si="34"/>
        <v>5287.1616000000004</v>
      </c>
      <c r="K39" s="198">
        <f t="shared" si="34"/>
        <v>5287.1616000000004</v>
      </c>
      <c r="L39" s="198">
        <f t="shared" si="34"/>
        <v>5287.1616000000004</v>
      </c>
      <c r="M39" s="198">
        <f t="shared" si="34"/>
        <v>5287.1616000000004</v>
      </c>
      <c r="N39" s="198">
        <f t="shared" si="34"/>
        <v>5287.1616000000004</v>
      </c>
      <c r="O39" s="198" t="str">
        <f t="shared" si="34"/>
        <v/>
      </c>
      <c r="P39" s="198" t="str">
        <f t="shared" si="34"/>
        <v/>
      </c>
      <c r="Q39" s="198" t="str">
        <f t="shared" si="34"/>
        <v/>
      </c>
      <c r="R39" s="198" t="str">
        <f t="shared" si="34"/>
        <v/>
      </c>
      <c r="S39" s="198" t="str">
        <f t="shared" si="34"/>
        <v/>
      </c>
      <c r="T39" s="67">
        <f t="shared" si="7"/>
        <v>52871.616000000002</v>
      </c>
      <c r="U39" s="2">
        <f t="shared" si="5"/>
        <v>7.268482269885744E-2</v>
      </c>
    </row>
    <row r="40" spans="2:22" x14ac:dyDescent="0.2">
      <c r="B40" s="65"/>
      <c r="C40" s="66" t="str">
        <f t="shared" ref="C40" si="35">IF(B39="","","CONTRAPARTIDA")</f>
        <v>CONTRAPARTIDA</v>
      </c>
      <c r="D40" s="66" t="s">
        <v>12</v>
      </c>
      <c r="E40" s="198">
        <f t="shared" ref="E40:S40" si="36">IF(E15="","",((E15/100)*$T$15)*$U$4)</f>
        <v>587.4624</v>
      </c>
      <c r="F40" s="198">
        <f t="shared" si="36"/>
        <v>587.4624</v>
      </c>
      <c r="G40" s="198">
        <f t="shared" si="36"/>
        <v>587.4624</v>
      </c>
      <c r="H40" s="198">
        <f t="shared" si="36"/>
        <v>587.4624</v>
      </c>
      <c r="I40" s="198">
        <f t="shared" si="36"/>
        <v>587.4624</v>
      </c>
      <c r="J40" s="198">
        <f t="shared" si="36"/>
        <v>587.4624</v>
      </c>
      <c r="K40" s="198">
        <f t="shared" si="36"/>
        <v>587.4624</v>
      </c>
      <c r="L40" s="198">
        <f t="shared" si="36"/>
        <v>587.4624</v>
      </c>
      <c r="M40" s="198">
        <f t="shared" si="36"/>
        <v>587.4624</v>
      </c>
      <c r="N40" s="198">
        <f t="shared" si="36"/>
        <v>587.4624</v>
      </c>
      <c r="O40" s="198" t="str">
        <f t="shared" si="36"/>
        <v/>
      </c>
      <c r="P40" s="198" t="str">
        <f t="shared" si="36"/>
        <v/>
      </c>
      <c r="Q40" s="198" t="str">
        <f t="shared" si="36"/>
        <v/>
      </c>
      <c r="R40" s="198" t="str">
        <f t="shared" si="36"/>
        <v/>
      </c>
      <c r="S40" s="198" t="str">
        <f t="shared" si="36"/>
        <v/>
      </c>
      <c r="T40" s="67">
        <f t="shared" si="7"/>
        <v>5874.6240000000007</v>
      </c>
      <c r="U40" s="2">
        <f t="shared" si="5"/>
        <v>8.0760914109841604E-3</v>
      </c>
      <c r="V40" s="68"/>
    </row>
    <row r="41" spans="2:22" x14ac:dyDescent="0.2">
      <c r="B41" s="69"/>
      <c r="C41" s="70"/>
      <c r="D41" s="70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3"/>
    </row>
    <row r="42" spans="2:22" x14ac:dyDescent="0.2">
      <c r="B42" s="72" t="s">
        <v>14</v>
      </c>
      <c r="C42" s="73" t="s">
        <v>11</v>
      </c>
      <c r="D42" s="73" t="s">
        <v>12</v>
      </c>
      <c r="E42" s="74">
        <f>SUMIF($C$21:$C$40,"FINANCIAMENTO",E$21:E$40)</f>
        <v>67687.01460000001</v>
      </c>
      <c r="F42" s="74">
        <f t="shared" ref="F42:U42" si="37">SUMIF($C$21:$C$40,"FINANCIAMENTO",F$21:F$40)</f>
        <v>65220.150600000001</v>
      </c>
      <c r="G42" s="74">
        <f t="shared" si="37"/>
        <v>65220.150600000001</v>
      </c>
      <c r="H42" s="74">
        <f t="shared" si="37"/>
        <v>65220.150600000001</v>
      </c>
      <c r="I42" s="74">
        <f t="shared" si="37"/>
        <v>79851.472200000004</v>
      </c>
      <c r="J42" s="74">
        <f t="shared" si="37"/>
        <v>72535.811400000006</v>
      </c>
      <c r="K42" s="74">
        <f t="shared" si="37"/>
        <v>65220.150600000001</v>
      </c>
      <c r="L42" s="74">
        <f t="shared" si="37"/>
        <v>65220.150600000001</v>
      </c>
      <c r="M42" s="74">
        <f t="shared" si="37"/>
        <v>57904.489800000003</v>
      </c>
      <c r="N42" s="74">
        <f t="shared" si="37"/>
        <v>50588.828999999998</v>
      </c>
      <c r="O42" s="74">
        <f t="shared" si="37"/>
        <v>0</v>
      </c>
      <c r="P42" s="74">
        <f>SUMIF($C$21:$C$40,"FINANCIAMENTO",P$21:P$40)</f>
        <v>0</v>
      </c>
      <c r="Q42" s="74">
        <f t="shared" si="37"/>
        <v>0</v>
      </c>
      <c r="R42" s="74">
        <f t="shared" si="37"/>
        <v>0</v>
      </c>
      <c r="S42" s="74">
        <f t="shared" si="37"/>
        <v>0</v>
      </c>
      <c r="T42" s="74">
        <f t="shared" si="37"/>
        <v>654668.36600000004</v>
      </c>
      <c r="U42" s="4">
        <f t="shared" si="37"/>
        <v>0.89999999450103252</v>
      </c>
    </row>
    <row r="43" spans="2:22" x14ac:dyDescent="0.2">
      <c r="B43" s="72" t="s">
        <v>19</v>
      </c>
      <c r="C43" s="75" t="s">
        <v>13</v>
      </c>
      <c r="D43" s="75" t="s">
        <v>12</v>
      </c>
      <c r="E43" s="74">
        <f t="shared" ref="E43:U43" si="38">SUMIF($C$21:$C$40,"CONTRAPARTIDA",E$21:E$40)</f>
        <v>7520.7794000000013</v>
      </c>
      <c r="F43" s="74">
        <f t="shared" si="38"/>
        <v>7246.6834000000017</v>
      </c>
      <c r="G43" s="74">
        <f t="shared" si="38"/>
        <v>7246.6834000000017</v>
      </c>
      <c r="H43" s="74">
        <f t="shared" si="38"/>
        <v>7246.6834000000017</v>
      </c>
      <c r="I43" s="74">
        <f t="shared" si="38"/>
        <v>8872.3858000000018</v>
      </c>
      <c r="J43" s="74">
        <f t="shared" si="38"/>
        <v>8059.5346000000009</v>
      </c>
      <c r="K43" s="74">
        <f t="shared" si="38"/>
        <v>7246.6834000000017</v>
      </c>
      <c r="L43" s="74">
        <f t="shared" si="38"/>
        <v>7246.6834000000017</v>
      </c>
      <c r="M43" s="74">
        <f t="shared" si="38"/>
        <v>6433.8322000000016</v>
      </c>
      <c r="N43" s="74">
        <f t="shared" si="38"/>
        <v>5620.9810000000007</v>
      </c>
      <c r="O43" s="74">
        <f t="shared" si="38"/>
        <v>0</v>
      </c>
      <c r="P43" s="74">
        <f t="shared" si="38"/>
        <v>0</v>
      </c>
      <c r="Q43" s="74">
        <f t="shared" si="38"/>
        <v>0</v>
      </c>
      <c r="R43" s="74">
        <f t="shared" si="38"/>
        <v>0</v>
      </c>
      <c r="S43" s="74">
        <f t="shared" si="38"/>
        <v>0</v>
      </c>
      <c r="T43" s="74">
        <f t="shared" si="38"/>
        <v>72740.930000000008</v>
      </c>
      <c r="U43" s="4">
        <f t="shared" si="38"/>
        <v>0.10000000000000002</v>
      </c>
    </row>
    <row r="44" spans="2:22" x14ac:dyDescent="0.2">
      <c r="B44" s="76"/>
      <c r="C44" s="70"/>
      <c r="D44" s="70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3"/>
    </row>
    <row r="45" spans="2:22" ht="13.5" thickBot="1" x14ac:dyDescent="0.25">
      <c r="B45" s="221" t="s">
        <v>61</v>
      </c>
      <c r="C45" s="77"/>
      <c r="D45" s="78" t="s">
        <v>12</v>
      </c>
      <c r="E45" s="79">
        <f t="shared" ref="E45:S45" si="39">SUM(E42:E43)</f>
        <v>75207.794000000009</v>
      </c>
      <c r="F45" s="79">
        <f t="shared" si="39"/>
        <v>72466.834000000003</v>
      </c>
      <c r="G45" s="79">
        <f t="shared" si="39"/>
        <v>72466.834000000003</v>
      </c>
      <c r="H45" s="79">
        <f t="shared" si="39"/>
        <v>72466.834000000003</v>
      </c>
      <c r="I45" s="79">
        <f t="shared" si="39"/>
        <v>88723.858000000007</v>
      </c>
      <c r="J45" s="79">
        <f t="shared" si="39"/>
        <v>80595.346000000005</v>
      </c>
      <c r="K45" s="80">
        <f t="shared" si="39"/>
        <v>72466.834000000003</v>
      </c>
      <c r="L45" s="80">
        <f t="shared" si="39"/>
        <v>72466.834000000003</v>
      </c>
      <c r="M45" s="80">
        <f t="shared" ref="M45:O45" si="40">SUM(M42:M43)</f>
        <v>64338.322000000007</v>
      </c>
      <c r="N45" s="80">
        <f t="shared" si="40"/>
        <v>56209.81</v>
      </c>
      <c r="O45" s="80">
        <f t="shared" si="40"/>
        <v>0</v>
      </c>
      <c r="P45" s="80">
        <f t="shared" si="39"/>
        <v>0</v>
      </c>
      <c r="Q45" s="80">
        <f t="shared" si="39"/>
        <v>0</v>
      </c>
      <c r="R45" s="80">
        <f t="shared" si="39"/>
        <v>0</v>
      </c>
      <c r="S45" s="80">
        <f t="shared" si="39"/>
        <v>0</v>
      </c>
      <c r="T45" s="80">
        <f>SUM(E45:S45)</f>
        <v>727409.3</v>
      </c>
      <c r="U45" s="5">
        <f>SUM(U42:U43)</f>
        <v>0.9999999945010325</v>
      </c>
    </row>
    <row r="46" spans="2:22" ht="14.25" thickTop="1" thickBot="1" x14ac:dyDescent="0.25">
      <c r="B46" s="220" t="s">
        <v>60</v>
      </c>
      <c r="C46" s="81"/>
      <c r="D46" s="82" t="s">
        <v>12</v>
      </c>
      <c r="E46" s="6">
        <f>IF($T$45=0,0,E45/$T$45)</f>
        <v>0.10339130115603416</v>
      </c>
      <c r="F46" s="6">
        <f t="shared" ref="F46:T46" si="41">IF($T$45=0,0,F45/$T$45)</f>
        <v>9.9623188760440642E-2</v>
      </c>
      <c r="G46" s="6">
        <f t="shared" si="41"/>
        <v>9.9623188760440642E-2</v>
      </c>
      <c r="H46" s="6">
        <f t="shared" si="41"/>
        <v>9.9623188760440642E-2</v>
      </c>
      <c r="I46" s="6">
        <f t="shared" si="41"/>
        <v>0.12197239985796167</v>
      </c>
      <c r="J46" s="6">
        <f t="shared" si="41"/>
        <v>0.11079779430920116</v>
      </c>
      <c r="K46" s="6">
        <f t="shared" si="41"/>
        <v>9.9623188760440642E-2</v>
      </c>
      <c r="L46" s="6">
        <f t="shared" si="41"/>
        <v>9.9623188760440642E-2</v>
      </c>
      <c r="M46" s="6">
        <f t="shared" si="41"/>
        <v>8.8448583211680143E-2</v>
      </c>
      <c r="N46" s="6">
        <f t="shared" si="41"/>
        <v>7.7273977662919616E-2</v>
      </c>
      <c r="O46" s="6">
        <f t="shared" si="41"/>
        <v>0</v>
      </c>
      <c r="P46" s="6">
        <f t="shared" si="41"/>
        <v>0</v>
      </c>
      <c r="Q46" s="6">
        <f t="shared" si="41"/>
        <v>0</v>
      </c>
      <c r="R46" s="6">
        <f t="shared" si="41"/>
        <v>0</v>
      </c>
      <c r="S46" s="6">
        <f t="shared" si="41"/>
        <v>0</v>
      </c>
      <c r="T46" s="6">
        <f t="shared" si="41"/>
        <v>1</v>
      </c>
      <c r="U46" s="7">
        <f>SUM(U42:U43)</f>
        <v>0.9999999945010325</v>
      </c>
    </row>
    <row r="47" spans="2:22" ht="13.5" thickTop="1" x14ac:dyDescent="0.2">
      <c r="B47" s="83" t="s">
        <v>51</v>
      </c>
      <c r="D47" s="211" t="s">
        <v>15</v>
      </c>
      <c r="E47" s="85"/>
      <c r="F47" s="85"/>
      <c r="G47" s="85"/>
      <c r="H47" s="85"/>
      <c r="I47" s="86"/>
      <c r="J47" s="87"/>
      <c r="K47" s="87"/>
      <c r="L47" s="87"/>
      <c r="M47" s="88"/>
      <c r="N47" s="88"/>
      <c r="O47" s="88"/>
      <c r="P47" s="212" t="s">
        <v>49</v>
      </c>
      <c r="Q47" s="88"/>
      <c r="R47" s="88"/>
      <c r="S47" s="88"/>
      <c r="T47" s="88"/>
      <c r="U47" s="89"/>
    </row>
    <row r="48" spans="2:22" x14ac:dyDescent="0.2">
      <c r="B48" s="83"/>
      <c r="D48" s="84"/>
      <c r="E48" s="85"/>
      <c r="F48" s="85"/>
      <c r="G48" s="85"/>
      <c r="H48" s="85"/>
      <c r="I48" s="90"/>
      <c r="J48" s="87"/>
      <c r="K48" s="87"/>
      <c r="L48" s="87"/>
      <c r="M48" s="87"/>
      <c r="N48" s="87"/>
      <c r="O48" s="87"/>
      <c r="P48" s="91"/>
      <c r="Q48" s="87"/>
      <c r="R48" s="87"/>
      <c r="S48" s="87"/>
      <c r="T48" s="87"/>
      <c r="U48" s="92"/>
    </row>
    <row r="49" spans="2:21" x14ac:dyDescent="0.2">
      <c r="B49" s="83"/>
      <c r="D49" s="84"/>
      <c r="E49" s="85"/>
      <c r="F49" s="85"/>
      <c r="G49" s="85"/>
      <c r="H49" s="85"/>
      <c r="I49" s="90"/>
      <c r="J49" s="87"/>
      <c r="K49" s="87"/>
      <c r="L49" s="87"/>
      <c r="M49" s="87"/>
      <c r="N49" s="87"/>
      <c r="O49" s="87"/>
      <c r="P49" s="91"/>
      <c r="Q49" s="87"/>
      <c r="R49" s="87"/>
      <c r="S49" s="87"/>
      <c r="T49" s="87"/>
      <c r="U49" s="92"/>
    </row>
    <row r="50" spans="2:21" ht="96" customHeight="1" thickBot="1" x14ac:dyDescent="0.25">
      <c r="B50" s="93"/>
      <c r="C50" s="94"/>
      <c r="D50" s="95"/>
      <c r="E50" s="96"/>
      <c r="F50" s="96"/>
      <c r="G50" s="96"/>
      <c r="H50" s="97"/>
      <c r="I50" s="98"/>
      <c r="J50" s="97"/>
      <c r="K50" s="99"/>
      <c r="L50" s="99"/>
      <c r="M50" s="101"/>
      <c r="N50" s="102"/>
      <c r="O50" s="102"/>
      <c r="P50" s="100"/>
      <c r="Q50" s="101"/>
      <c r="R50" s="102"/>
      <c r="S50" s="102"/>
      <c r="T50" s="102"/>
      <c r="U50" s="103"/>
    </row>
    <row r="486" spans="6:6" x14ac:dyDescent="0.2">
      <c r="F486" s="11">
        <v>11.5</v>
      </c>
    </row>
    <row r="487" spans="6:6" x14ac:dyDescent="0.2">
      <c r="F487" s="11">
        <v>11.5</v>
      </c>
    </row>
  </sheetData>
  <printOptions horizontalCentered="1" verticalCentered="1"/>
  <pageMargins left="0.78740157480314965" right="0.78740157480314965" top="0.78740157480314965" bottom="0.78740157480314965" header="0" footer="0"/>
  <pageSetup paperSize="9" scale="65" orientation="landscape" r:id="rId1"/>
  <headerFooter alignWithMargins="0"/>
  <rowBreaks count="1" manualBreakCount="1">
    <brk id="16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30</vt:i4>
      </vt:variant>
    </vt:vector>
  </HeadingPairs>
  <TitlesOfParts>
    <vt:vector size="34" baseType="lpstr">
      <vt:lpstr>Cronograma</vt:lpstr>
      <vt:lpstr>TRECHO 01</vt:lpstr>
      <vt:lpstr>Planilha1</vt:lpstr>
      <vt:lpstr>Cronograma Licitado</vt:lpstr>
      <vt:lpstr>Cronograma!Area_de_impressao</vt:lpstr>
      <vt:lpstr>'Cronograma Licitado'!Area_de_impressao</vt:lpstr>
      <vt:lpstr>'TRECHO 01'!Area_de_impressao</vt:lpstr>
      <vt:lpstr>'TRECHO 01'!DadosExternos15</vt:lpstr>
      <vt:lpstr>'TRECHO 01'!DadosExternos15_1</vt:lpstr>
      <vt:lpstr>'TRECHO 01'!DadosExternos15_2</vt:lpstr>
      <vt:lpstr>'TRECHO 01'!DadosExternos16</vt:lpstr>
      <vt:lpstr>'TRECHO 01'!DadosExternos16_1</vt:lpstr>
      <vt:lpstr>'TRECHO 01'!DadosExternos16_2</vt:lpstr>
      <vt:lpstr>'TRECHO 01'!DadosExternos17</vt:lpstr>
      <vt:lpstr>'TRECHO 01'!DadosExternos17_1</vt:lpstr>
      <vt:lpstr>'TRECHO 01'!DadosExternos17_2</vt:lpstr>
      <vt:lpstr>'TRECHO 01'!DadosExternos18</vt:lpstr>
      <vt:lpstr>'TRECHO 01'!DadosExternos18_1</vt:lpstr>
      <vt:lpstr>'TRECHO 01'!DadosExternos18_2</vt:lpstr>
      <vt:lpstr>'TRECHO 01'!DadosExternos18_3</vt:lpstr>
      <vt:lpstr>'TRECHO 01'!DadosExternos18_4</vt:lpstr>
      <vt:lpstr>'TRECHO 01'!DadosExternos18_5</vt:lpstr>
      <vt:lpstr>'TRECHO 01'!DadosExternos18_6</vt:lpstr>
      <vt:lpstr>'TRECHO 01'!DadosExternos18_7</vt:lpstr>
      <vt:lpstr>'TRECHO 01'!DadosExternos18_8</vt:lpstr>
      <vt:lpstr>'TRECHO 01'!DadosExternos2</vt:lpstr>
      <vt:lpstr>'TRECHO 01'!DadosExternos2_1</vt:lpstr>
      <vt:lpstr>'TRECHO 01'!DadosExternos2_2</vt:lpstr>
      <vt:lpstr>'TRECHO 01'!DadosExternos5</vt:lpstr>
      <vt:lpstr>'TRECHO 01'!DadosExternos5_1</vt:lpstr>
      <vt:lpstr>'TRECHO 01'!DadosExternos5_2</vt:lpstr>
      <vt:lpstr>'TRECHO 01'!DadosExternos6</vt:lpstr>
      <vt:lpstr>'TRECHO 01'!DadosExternos6_1</vt:lpstr>
      <vt:lpstr>'TRECHO 01'!DadosExternos6_2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Particular</cp:lastModifiedBy>
  <cp:lastPrinted>2025-09-24T12:18:26Z</cp:lastPrinted>
  <dcterms:created xsi:type="dcterms:W3CDTF">1998-02-17T17:03:09Z</dcterms:created>
  <dcterms:modified xsi:type="dcterms:W3CDTF">2025-09-24T12:18:35Z</dcterms:modified>
</cp:coreProperties>
</file>